
<file path=[Content_Types].xml><?xml version="1.0" encoding="utf-8"?>
<Types xmlns="http://schemas.openxmlformats.org/package/2006/content-types">
  <Default Extension="fntdata" ContentType="application/x-fontdata"/>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4.xml" ContentType="application/vnd.openxmlformats-officedocument.spreadsheetml.worksheet+xml"/>
  <Override PartName="/xl/worksheets/sheet7.xml" ContentType="application/vnd.openxmlformats-officedocument.spreadsheetml.worksheet+xml"/>
  <Override PartName="/xl/worksheets/sheet3.xml" ContentType="application/vnd.openxmlformats-officedocument.spreadsheetml.worksheet+xml"/>
  <Override PartName="/xl/worksheets/sheet8.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fileVersion appName="Calc" lowestEdited="4"/>
  <workbookPr backupFile="false" showObjects="all" date1904="false"/>
  <workbookProtection/>
  <bookViews>
    <workbookView showHorizontalScroll="true" showVerticalScroll="true" showSheetTabs="true" xWindow="0" yWindow="0" windowWidth="16384" windowHeight="8192" tabRatio="500" firstSheet="0" activeTab="0"/>
  </bookViews>
  <sheets>
    <sheet name="1 · Cover" sheetId="1" state="visible" r:id="rId3"/>
    <sheet name="2 · Assumptions" sheetId="2" state="visible" r:id="rId4"/>
    <sheet name="3 · Revenue Build" sheetId="3" state="visible" r:id="rId5"/>
    <sheet name="4 · Unit Economics" sheetId="4" state="visible" r:id="rId6"/>
    <sheet name="5 · P&amp;L" sheetId="5" state="visible" r:id="rId7"/>
    <sheet name="6 · Cash &amp; Runway" sheetId="6" state="visible" r:id="rId8"/>
    <sheet name="7 · Scenarios" sheetId="7" state="visible" r:id="rId9"/>
    <sheet name="8 · Funding" sheetId="8" state="visible" r:id="rId10"/>
  </sheets>
  <definedNames>
    <definedName function="false" hidden="false" localSheetId="0" name="_xlnm.Print_Area" vbProcedure="false">'1 · Cover'!$A$1:$H$38</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<sst xmlns="http://schemas.openxmlformats.org/spreadsheetml/2006/main" count="380" uniqueCount="308">
  <si>
    <t xml:space="preserve">Airbnb — Seed Financial Model</t>
  </si>
  <si>
    <t xml:space="preserve">Vintage 2008. A Slatepress Model teardown.</t>
  </si>
  <si>
    <t xml:space="preserve">What this is</t>
  </si>
  <si>
    <t xml:space="preserve">A retrospective seed-round financial model for Airbnb, vintage late 2008. Numbers are back-calibrated to public milestones — a demonstration of Slatepress Model craft, not investment guidance.</t>
  </si>
  <si>
    <t xml:space="preserve">How to read</t>
  </si>
  <si>
    <t xml:space="preserve">Tab</t>
  </si>
  <si>
    <t xml:space="preserve">What's in it</t>
  </si>
  <si>
    <t xml:space="preserve">2 · Assumptions</t>
  </si>
  <si>
    <t xml:space="preserve">Every input the model uses. Change anything blue to flex the case.</t>
  </si>
  <si>
    <t xml:space="preserve">3 · Revenue Build</t>
  </si>
  <si>
    <t xml:space="preserve">Listings → nights booked → GMV → net revenue. Monthly, 24 months.</t>
  </si>
  <si>
    <t xml:space="preserve">4 · Unit Economics</t>
  </si>
  <si>
    <t xml:space="preserve">Host and guest CAC, LTV, payback, contribution margin.</t>
  </si>
  <si>
    <t xml:space="preserve">5 · P&amp;L</t>
  </si>
  <si>
    <t xml:space="preserve">Operating model. Revenue down to EBITDA with opex layered in.</t>
  </si>
  <si>
    <t xml:space="preserve">6 · Cash &amp; Runway</t>
  </si>
  <si>
    <t xml:space="preserve">Monthly burn, ending cash, runway. Justifies the raise size.</t>
  </si>
  <si>
    <t xml:space="preserve">7 · Scenarios</t>
  </si>
  <si>
    <t xml:space="preserve">Downside / Base / Upside on the two drivers that actually matter.</t>
  </si>
  <si>
    <t xml:space="preserve">8 · Funding</t>
  </si>
  <si>
    <t xml:space="preserve">Round ask, use of funds, milestones to Series A.</t>
  </si>
  <si>
    <t xml:space="preserve">Color key</t>
  </si>
  <si>
    <t xml:space="preserve">Blue text</t>
  </si>
  <si>
    <t xml:space="preserve">Hardcoded input. Change these to flex the model.</t>
  </si>
  <si>
    <t xml:space="preserve">Black text</t>
  </si>
  <si>
    <t xml:space="preserve">Formula / calculation. Derived from inputs.</t>
  </si>
  <si>
    <t xml:space="preserve">Green text</t>
  </si>
  <si>
    <t xml:space="preserve">Link pulling from another tab in this workbook.</t>
  </si>
  <si>
    <t xml:space="preserve">Yellow highlight</t>
  </si>
  <si>
    <t xml:space="preserve">Key driver — most important sensitivity.</t>
  </si>
  <si>
    <t xml:space="preserve">Key numbers at a glance</t>
  </si>
  <si>
    <t xml:space="preserve">Seed raise</t>
  </si>
  <si>
    <t xml:space="preserve">Implied post-money (at 20% dilution)</t>
  </si>
  <si>
    <t xml:space="preserve">Month 12 run-rate revenue (ARR)</t>
  </si>
  <si>
    <t xml:space="preserve">Month 24 run-rate revenue (ARR)</t>
  </si>
  <si>
    <t xml:space="preserve">Month 24 ending cash</t>
  </si>
  <si>
    <t xml:space="preserve">Peak monthly burn</t>
  </si>
  <si>
    <t xml:space="preserve">Built by Slatepress · slatepress.co</t>
  </si>
  <si>
    <t xml:space="preserve">Assumptions</t>
  </si>
  <si>
    <t xml:space="preserve">Every driver lives here. Blue = change me.</t>
  </si>
  <si>
    <t xml:space="preserve">Input</t>
  </si>
  <si>
    <t xml:space="preserve">Value</t>
  </si>
  <si>
    <t xml:space="preserve">Source / rationale</t>
  </si>
  <si>
    <t xml:space="preserve">Timing</t>
  </si>
  <si>
    <t xml:space="preserve">Model start</t>
  </si>
  <si>
    <t xml:space="preserve">Oct-08</t>
  </si>
  <si>
    <t xml:space="preserve">Post-YC application period; pre-seed close</t>
  </si>
  <si>
    <t xml:space="preserve">Model horizon (months)</t>
  </si>
  <si>
    <t xml:space="preserve">Standard seed-stage horizon — bridges to Series A</t>
  </si>
  <si>
    <t xml:space="preserve">Seed round close month</t>
  </si>
  <si>
    <t xml:space="preserve">Month 1 = Oct-08</t>
  </si>
  <si>
    <t xml:space="preserve">Capital</t>
  </si>
  <si>
    <t xml:space="preserve">Starting cash pre-seed ($)</t>
  </si>
  <si>
    <t xml:space="preserve">Founder credit-card period. Chesky/Gebbia retrospectives, 2008.</t>
  </si>
  <si>
    <t xml:space="preserve">Seed round size ($)</t>
  </si>
  <si>
    <t xml:space="preserve">YC $20K + angel syndicate; illustrative 2008 seed sizing.</t>
  </si>
  <si>
    <t xml:space="preserve">Seed closes in month #</t>
  </si>
  <si>
    <t xml:space="preserve">All cash in at month 1 for modeling simplicity.</t>
  </si>
  <si>
    <t xml:space="preserve">Marketplace drivers</t>
  </si>
  <si>
    <t xml:space="preserve">Driver</t>
  </si>
  <si>
    <t xml:space="preserve">Month 1</t>
  </si>
  <si>
    <t xml:space="preserve">Month 6</t>
  </si>
  <si>
    <t xml:space="preserve">Month 12</t>
  </si>
  <si>
    <t xml:space="preserve">Month 24</t>
  </si>
  <si>
    <t xml:space="preserve">Rationale</t>
  </si>
  <si>
    <t xml:space="preserve">Active listings</t>
  </si>
  <si>
    <t xml:space="preserve">Interpolated monthly. Base: 5K listings Month 24.</t>
  </si>
  <si>
    <t xml:space="preserve">Occupancy rate</t>
  </si>
  <si>
    <t xml:space="preserve">Starts at 4% (early marketplace), ramps to 15% as demand develops.</t>
  </si>
  <si>
    <t xml:space="preserve">Avg daily rate ($)</t>
  </si>
  <si>
    <t xml:space="preserve">Blended NYC/SF/other. Trended up with mix shift to premium cities.</t>
  </si>
  <si>
    <t xml:space="preserve">Take rate (% of GMV)</t>
  </si>
  <si>
    <t xml:space="preserve">Combined host + guest fees. Step-up to 12% at month 7.</t>
  </si>
  <si>
    <t xml:space="preserve">Acquisition &amp; unit economics</t>
  </si>
  <si>
    <t xml:space="preserve">Host CAC ($)</t>
  </si>
  <si>
    <t xml:space="preserve">Mostly referral + Craigslist cross-posting; earned.</t>
  </si>
  <si>
    <t xml:space="preserve">Guest CAC ($)</t>
  </si>
  <si>
    <t xml:space="preserve">SEO + word of mouth dominates early growth.</t>
  </si>
  <si>
    <t xml:space="preserve">Avg listing lifetime (months)</t>
  </si>
  <si>
    <t xml:space="preserve">Before churn or inactivity.</t>
  </si>
  <si>
    <t xml:space="preserve">Avg guest repeat bookings / year</t>
  </si>
  <si>
    <t xml:space="preserve">Thin repeat early; grows as inventory improves.</t>
  </si>
  <si>
    <t xml:space="preserve">Payment processing (% of GMV)</t>
  </si>
  <si>
    <t xml:space="preserve">Industry-standard card fees, 2008 era.</t>
  </si>
  <si>
    <t xml:space="preserve">Team &amp; payroll (monthly $)</t>
  </si>
  <si>
    <t xml:space="preserve">Role</t>
  </si>
  <si>
    <t xml:space="preserve">Month 1 HC</t>
  </si>
  <si>
    <t xml:space="preserve">Month 12 HC</t>
  </si>
  <si>
    <t xml:space="preserve">Month 24 HC</t>
  </si>
  <si>
    <t xml:space="preserve">Loaded salary ($/mo)</t>
  </si>
  <si>
    <t xml:space="preserve">Founders</t>
  </si>
  <si>
    <t xml:space="preserve">Below-market founder salaries early</t>
  </si>
  <si>
    <t xml:space="preserve">Engineering</t>
  </si>
  <si>
    <t xml:space="preserve">Two senior hires by end of Y1</t>
  </si>
  <si>
    <t xml:space="preserve">Operations / Support</t>
  </si>
  <si>
    <t xml:space="preserve">CS + trust safety scales with bookings</t>
  </si>
  <si>
    <t xml:space="preserve">Marketing / Growth</t>
  </si>
  <si>
    <t xml:space="preserve">One growth lead hired M9</t>
  </si>
  <si>
    <t xml:space="preserve">Overhead (monthly $)</t>
  </si>
  <si>
    <t xml:space="preserve">Rent (Rausch St apt / coworking)</t>
  </si>
  <si>
    <t xml:space="preserve">Founders' apt — famously their first 'office'.</t>
  </si>
  <si>
    <t xml:space="preserve">Legal &amp; accounting</t>
  </si>
  <si>
    <t xml:space="preserve">Standard early-stage bookkeeping + TOS counsel.</t>
  </si>
  <si>
    <t xml:space="preserve">Software &amp; tooling</t>
  </si>
  <si>
    <t xml:space="preserve">AWS early, SaaS tools.</t>
  </si>
  <si>
    <t xml:space="preserve">Hosting &amp; infrastructure (% of GMV)</t>
  </si>
  <si>
    <t xml:space="preserve">Scales with transaction volume.</t>
  </si>
  <si>
    <t xml:space="preserve">Trust &amp; safety (% of GMV)</t>
  </si>
  <si>
    <t xml:space="preserve">Fraud + chargebacks + host verification.</t>
  </si>
  <si>
    <t xml:space="preserve">Other G&amp;A</t>
  </si>
  <si>
    <t xml:space="preserve">Travel, supplies, misc.</t>
  </si>
  <si>
    <t xml:space="preserve">Marketing budget ($/mo)</t>
  </si>
  <si>
    <t xml:space="preserve">Minimal paid; Craigslist cross-post hack era.</t>
  </si>
  <si>
    <t xml:space="preserve">Early PR + testing paid channels.</t>
  </si>
  <si>
    <t xml:space="preserve">Growth-lead hired; scaling paid.</t>
  </si>
  <si>
    <t xml:space="preserve">Series A-ready spend, multi-channel.</t>
  </si>
  <si>
    <t xml:space="preserve">Scenario multipliers (applied to listings × occupancy)</t>
  </si>
  <si>
    <t xml:space="preserve">Scenario</t>
  </si>
  <si>
    <t xml:space="preserve">Multiplier</t>
  </si>
  <si>
    <t xml:space="preserve">Downside</t>
  </si>
  <si>
    <t xml:space="preserve">Adoption slower; 2009 recession drags travel.</t>
  </si>
  <si>
    <t xml:space="preserve">Base</t>
  </si>
  <si>
    <t xml:space="preserve">As modeled above.</t>
  </si>
  <si>
    <t xml:space="preserve">Upside</t>
  </si>
  <si>
    <t xml:space="preserve">Viral coefficient holds; NYC takes off faster.</t>
  </si>
  <si>
    <t xml:space="preserve">Revenue Build</t>
  </si>
  <si>
    <t xml:space="preserve">Listings → nights → GMV → net revenue. Monthly, 24 months.</t>
  </si>
  <si>
    <t xml:space="preserve">Metric</t>
  </si>
  <si>
    <t xml:space="preserve">Unit</t>
  </si>
  <si>
    <t xml:space="preserve">Nov-08</t>
  </si>
  <si>
    <t xml:space="preserve">Dec-08</t>
  </si>
  <si>
    <t xml:space="preserve">Jan-09</t>
  </si>
  <si>
    <t xml:space="preserve">Feb-09</t>
  </si>
  <si>
    <t xml:space="preserve">Mar-09</t>
  </si>
  <si>
    <t xml:space="preserve">Apr-09</t>
  </si>
  <si>
    <t xml:space="preserve">May-09</t>
  </si>
  <si>
    <t xml:space="preserve">Jun-09</t>
  </si>
  <si>
    <t xml:space="preserve">Jul-09</t>
  </si>
  <si>
    <t xml:space="preserve">Aug-09</t>
  </si>
  <si>
    <t xml:space="preserve">Sep-09</t>
  </si>
  <si>
    <t xml:space="preserve">Oct-09</t>
  </si>
  <si>
    <t xml:space="preserve">Nov-09</t>
  </si>
  <si>
    <t xml:space="preserve">Dec-09</t>
  </si>
  <si>
    <t xml:space="preserve">Jan-10</t>
  </si>
  <si>
    <t xml:space="preserve">Feb-10</t>
  </si>
  <si>
    <t xml:space="preserve">Mar-10</t>
  </si>
  <si>
    <t xml:space="preserve">Apr-10</t>
  </si>
  <si>
    <t xml:space="preserve">May-10</t>
  </si>
  <si>
    <t xml:space="preserve">Jun-10</t>
  </si>
  <si>
    <t xml:space="preserve">Jul-10</t>
  </si>
  <si>
    <t xml:space="preserve">Aug-10</t>
  </si>
  <si>
    <t xml:space="preserve">Sep-10</t>
  </si>
  <si>
    <t xml:space="preserve">Month #</t>
  </si>
  <si>
    <t xml:space="preserve">Active Listings</t>
  </si>
  <si>
    <t xml:space="preserve">count</t>
  </si>
  <si>
    <t xml:space="preserve">Nights Available</t>
  </si>
  <si>
    <t xml:space="preserve">nights</t>
  </si>
  <si>
    <t xml:space="preserve">Occupancy Rate</t>
  </si>
  <si>
    <t xml:space="preserve">%</t>
  </si>
  <si>
    <t xml:space="preserve">Nights Booked</t>
  </si>
  <si>
    <t xml:space="preserve">Avg Daily Rate</t>
  </si>
  <si>
    <t xml:space="preserve">$/night</t>
  </si>
  <si>
    <t xml:space="preserve">Gross Merchandise Volume (GMV)</t>
  </si>
  <si>
    <t xml:space="preserve">$</t>
  </si>
  <si>
    <t xml:space="preserve">Take Rate</t>
  </si>
  <si>
    <t xml:space="preserve">Net Revenue</t>
  </si>
  <si>
    <t xml:space="preserve">Trailing Summary</t>
  </si>
  <si>
    <t xml:space="preserve">Year 1 Revenue (months 1-12)</t>
  </si>
  <si>
    <t xml:space="preserve">Year 2 Revenue (months 13-24)</t>
  </si>
  <si>
    <t xml:space="preserve">Cumulative 24-mo GMV</t>
  </si>
  <si>
    <t xml:space="preserve">Month 24 ARR (run-rate)</t>
  </si>
  <si>
    <t xml:space="preserve">Unit Economics</t>
  </si>
  <si>
    <t xml:space="preserve">Interpretation</t>
  </si>
  <si>
    <t xml:space="preserve">Host side</t>
  </si>
  <si>
    <t xml:space="preserve">Revenue per active listing / month</t>
  </si>
  <si>
    <t xml:space="preserve">Monthly revenue contributed per listing.</t>
  </si>
  <si>
    <t xml:space="preserve">Listing LTV (rev/listing × life × take/GMV)</t>
  </si>
  <si>
    <t xml:space="preserve">Gross profit over avg 18-month active life.</t>
  </si>
  <si>
    <t xml:space="preserve">Host CAC</t>
  </si>
  <si>
    <t xml:space="preserve">Blended — largely earned / referral early.</t>
  </si>
  <si>
    <t xml:space="preserve">Host LTV / CAC</t>
  </si>
  <si>
    <t xml:space="preserve">Target &gt; 3x for marketplace healthy.</t>
  </si>
  <si>
    <t xml:space="preserve">Host payback (months)</t>
  </si>
  <si>
    <t xml:space="preserve">Months of listing revenue to recover CAC.</t>
  </si>
  <si>
    <t xml:space="preserve">Guest side</t>
  </si>
  <si>
    <t xml:space="preserve">Revenue per booking</t>
  </si>
  <si>
    <t xml:space="preserve">Assumes 3-night avg stay.</t>
  </si>
  <si>
    <t xml:space="preserve">Guest CAC</t>
  </si>
  <si>
    <t xml:space="preserve">SEO + word of mouth dominates.</t>
  </si>
  <si>
    <t xml:space="preserve">Guest annual revenue (rev/booking × repeat)</t>
  </si>
  <si>
    <t xml:space="preserve">Annualised — ~1.8 trips/yr early.</t>
  </si>
  <si>
    <t xml:space="preserve">Guest annual / CAC</t>
  </si>
  <si>
    <t xml:space="preserve">Contribution ratio per guest per year.</t>
  </si>
  <si>
    <t xml:space="preserve">Takeaway</t>
  </si>
  <si>
    <t xml:space="preserve">Model matures into LTV/CAC &gt; 5x on the host side by month 24 and &lt;3-month payback. Marketplace economics improve as both occupancy and take-rate scale. Growth spend remains net-positive throughout projection window.</t>
  </si>
  <si>
    <t xml:space="preserve">Operating Model (P&amp;L)</t>
  </si>
  <si>
    <t xml:space="preserve">Revenue down to EBITDA. Monthly, 24 months.</t>
  </si>
  <si>
    <t xml:space="preserve">Total</t>
  </si>
  <si>
    <t xml:space="preserve">Revenue &amp; Cost of Revenue</t>
  </si>
  <si>
    <t xml:space="preserve">  Payment processing (2.9% of GMV)</t>
  </si>
  <si>
    <t xml:space="preserve">  Hosting &amp; infrastructure</t>
  </si>
  <si>
    <t xml:space="preserve">  Trust &amp; safety</t>
  </si>
  <si>
    <t xml:space="preserve">Gross Profit</t>
  </si>
  <si>
    <t xml:space="preserve">  Gross margin %</t>
  </si>
  <si>
    <t xml:space="preserve">Operating Expenses</t>
  </si>
  <si>
    <t xml:space="preserve">  Founders salary</t>
  </si>
  <si>
    <t xml:space="preserve">  Engineering salaries</t>
  </si>
  <si>
    <t xml:space="preserve">  Ops / support salaries</t>
  </si>
  <si>
    <t xml:space="preserve">  Marketing / growth salaries</t>
  </si>
  <si>
    <t xml:space="preserve">Total salaries</t>
  </si>
  <si>
    <t xml:space="preserve">Marketing spend</t>
  </si>
  <si>
    <t xml:space="preserve">  Rent / office</t>
  </si>
  <si>
    <t xml:space="preserve">  Legal &amp; accounting</t>
  </si>
  <si>
    <t xml:space="preserve">  Software &amp; tooling</t>
  </si>
  <si>
    <t xml:space="preserve">  Other G&amp;A</t>
  </si>
  <si>
    <t xml:space="preserve">Total G&amp;A</t>
  </si>
  <si>
    <t xml:space="preserve">Total Operating Expenses</t>
  </si>
  <si>
    <t xml:space="preserve">EBITDA</t>
  </si>
  <si>
    <t xml:space="preserve">  EBITDA margin %</t>
  </si>
  <si>
    <t xml:space="preserve">Cash &amp; Runway</t>
  </si>
  <si>
    <t xml:space="preserve">Monthly burn, ending cash, runway to next raise.</t>
  </si>
  <si>
    <t xml:space="preserve">Opening cash</t>
  </si>
  <si>
    <t xml:space="preserve">  + Seed raise (one-time)</t>
  </si>
  <si>
    <t xml:space="preserve">  + EBITDA</t>
  </si>
  <si>
    <t xml:space="preserve">Net change in cash</t>
  </si>
  <si>
    <t xml:space="preserve">Closing cash</t>
  </si>
  <si>
    <t xml:space="preserve">Monthly burn (-EBITDA if negative)</t>
  </si>
  <si>
    <t xml:space="preserve">Ending cash</t>
  </si>
  <si>
    <t xml:space="preserve">Runway (months at L3M avg burn)</t>
  </si>
  <si>
    <t xml:space="preserve">Read of the runway math</t>
  </si>
  <si>
    <t xml:space="preserve">With a $750K seed raise at month 1 and monthly burn ramping with team and marketing, the model shows cash trending low around month 15-18 — which is the standard seed-to-Series-A bridge. At that point revenue is scaling fast enough that the company can justify a Series A at $8-12M based on month 24 ARR run-rate of ~$3M.</t>
  </si>
  <si>
    <t xml:space="preserve">Scenarios</t>
  </si>
  <si>
    <t xml:space="preserve">Downside / Base / Upside on the drivers that matter.</t>
  </si>
  <si>
    <t xml:space="preserve">Output</t>
  </si>
  <si>
    <t xml:space="preserve">Notes</t>
  </si>
  <si>
    <t xml:space="preserve">Scenario multiplier (on listings × occupancy)</t>
  </si>
  <si>
    <t xml:space="preserve">Month 24 run-rate ARR</t>
  </si>
  <si>
    <t xml:space="preserve">Illustrative flex via volume multiplier.</t>
  </si>
  <si>
    <t xml:space="preserve">Total transacted value over window.</t>
  </si>
  <si>
    <t xml:space="preserve">Month 24 EBITDA (approx.)</t>
  </si>
  <si>
    <t xml:space="preserve">Simplified flex — real model would re-cost opex.</t>
  </si>
  <si>
    <t xml:space="preserve">When runway hits &lt; 6 months</t>
  </si>
  <si>
    <t xml:space="preserve">~Month 13</t>
  </si>
  <si>
    <t xml:space="preserve">~Month 16</t>
  </si>
  <si>
    <t xml:space="preserve">~Month 20</t>
  </si>
  <si>
    <t xml:space="preserve">Approximate — triggers Series A process.</t>
  </si>
  <si>
    <t xml:space="preserve">Series A valuation (at 8x ARR)</t>
  </si>
  <si>
    <t xml:space="preserve">8x forward-ARR — 2010-era marketplace comp.</t>
  </si>
  <si>
    <t xml:space="preserve">What this tells you</t>
  </si>
  <si>
    <t xml:space="preserve">Even in the downside case (60% of base volume), the business reaches a credible Series A conversation — just on a delayed timeline. The upside case supports an aggressive Series A at $30-40M pre-money. The base case is what we present. The downside case is what we use to prove we won't die if adoption is slower.</t>
  </si>
  <si>
    <t xml:space="preserve">Funding Summary</t>
  </si>
  <si>
    <t xml:space="preserve">The ask, the use of funds, the path to Series A.</t>
  </si>
  <si>
    <t xml:space="preserve">The ask</t>
  </si>
  <si>
    <t xml:space="preserve">Round type</t>
  </si>
  <si>
    <t xml:space="preserve">Seed</t>
  </si>
  <si>
    <t xml:space="preserve">Lead structure</t>
  </si>
  <si>
    <t xml:space="preserve">SAFE / convertible note</t>
  </si>
  <si>
    <t xml:space="preserve">Seed raise size</t>
  </si>
  <si>
    <t xml:space="preserve">Implied valuation cap (at 20% dilution)</t>
  </si>
  <si>
    <t xml:space="preserve">Investors targeted</t>
  </si>
  <si>
    <t xml:space="preserve">YC + seed funds + angels</t>
  </si>
  <si>
    <t xml:space="preserve">Operating expense breakdown (24-month window)</t>
  </si>
  <si>
    <t xml:space="preserve">Category</t>
  </si>
  <si>
    <t xml:space="preserve">Amount</t>
  </si>
  <si>
    <t xml:space="preserve">% of opex</t>
  </si>
  <si>
    <t xml:space="preserve">What it gets us</t>
  </si>
  <si>
    <t xml:space="preserve">Engineering &amp; ops hires</t>
  </si>
  <si>
    <t xml:space="preserve">Two eng + one ops hire over 18 months.</t>
  </si>
  <si>
    <t xml:space="preserve">Marketing &amp; growth</t>
  </si>
  <si>
    <t xml:space="preserve">Scale paid + content + one growth lead.</t>
  </si>
  <si>
    <t xml:space="preserve">Founders &amp; marketing salaries</t>
  </si>
  <si>
    <t xml:space="preserve">Below-market founder + growth-lead salaries.</t>
  </si>
  <si>
    <t xml:space="preserve">G&amp;A (rent, legal, tools)</t>
  </si>
  <si>
    <t xml:space="preserve">Keep the lights on.</t>
  </si>
  <si>
    <t xml:space="preserve">Total 24-month OpEx</t>
  </si>
  <si>
    <t xml:space="preserve">100.0%</t>
  </si>
  <si>
    <t xml:space="preserve">Less: gross profit (self-funds)</t>
  </si>
  <si>
    <t xml:space="preserve">Marketplace take rate funds most opex as revenue scales.</t>
  </si>
  <si>
    <t xml:space="preserve">Net cash burn (= 24-mo EBITDA loss)</t>
  </si>
  <si>
    <t xml:space="preserve">$750K seed covers this with buffer.</t>
  </si>
  <si>
    <t xml:space="preserve">Milestones to Series A</t>
  </si>
  <si>
    <t xml:space="preserve">Milestone</t>
  </si>
  <si>
    <t xml:space="preserve">Target</t>
  </si>
  <si>
    <t xml:space="preserve">By month</t>
  </si>
  <si>
    <t xml:space="preserve">Why it matters</t>
  </si>
  <si>
    <t xml:space="preserve">1,500</t>
  </si>
  <si>
    <t xml:space="preserve">Proves marketplace liquidity in flagship cities.</t>
  </si>
  <si>
    <t xml:space="preserve">Monthly bookings</t>
  </si>
  <si>
    <t xml:space="preserve">3,200</t>
  </si>
  <si>
    <t xml:space="preserve">Shows transaction flywheel engaging.</t>
  </si>
  <si>
    <t xml:space="preserve">Monthly net revenue</t>
  </si>
  <si>
    <t xml:space="preserve">$40K</t>
  </si>
  <si>
    <t xml:space="preserve">Annualized $500K — first revenue marker.</t>
  </si>
  <si>
    <t xml:space="preserve">5,000</t>
  </si>
  <si>
    <t xml:space="preserve">National footprint visible.</t>
  </si>
  <si>
    <t xml:space="preserve">22,500</t>
  </si>
  <si>
    <t xml:space="preserve">Scale signal for Series A investors.</t>
  </si>
  <si>
    <t xml:space="preserve">ARR run-rate</t>
  </si>
  <si>
    <t xml:space="preserve">$3.2M</t>
  </si>
  <si>
    <t xml:space="preserve">Supports $25-35M pre-money Series A.</t>
  </si>
  <si>
    <t xml:space="preserve">Take rate</t>
  </si>
  <si>
    <t xml:space="preserve">12% blended</t>
  </si>
  <si>
    <t xml:space="preserve">Demonstrates pricing power.</t>
  </si>
  <si>
    <t xml:space="preserve">LTV/CAC (host)</t>
  </si>
  <si>
    <t xml:space="preserve">&gt;5x</t>
  </si>
  <si>
    <t xml:space="preserve">Shows unit economics earn their cost.</t>
  </si>
  <si>
    <t xml:space="preserve">The Series A narrative this model supports</t>
  </si>
  <si>
    <t xml:space="preserve">By month 18-20 we expect to open a Series A conversation at $25-35M pre-money, raising $8-12M. The case is simple: a two-sided marketplace with proven unit economics, 12% blended take rate, $3M+ ARR run-rate, and LTV/CAC &gt; 5x on the host side. The seed round exists to prove the marketplace crosses the liquidity threshold in three flagship cities (SF, NYC, LA) and to hire the team that will scale it to thirty.</t>
  </si>
</sst>
</file>

<file path=xl/styles.xml><?xml version="1.0" encoding="utf-8"?>
<styleSheet xmlns="http://schemas.openxmlformats.org/spreadsheetml/2006/main">
  <numFmts count="8">
    <numFmt numFmtId="164" formatCode="General"/>
    <numFmt numFmtId="165" formatCode="\$#,##0;&quot;($&quot;#,##0\);\-"/>
    <numFmt numFmtId="166" formatCode="#,##0;\(#,##0\);\-"/>
    <numFmt numFmtId="167" formatCode="0.0%;\(0.0%\);\-"/>
    <numFmt numFmtId="168" formatCode="0.0\x"/>
    <numFmt numFmtId="169" formatCode="0.0\x"/>
    <numFmt numFmtId="170" formatCode="0.0&quot; mo&quot;"/>
    <numFmt numFmtId="171" formatCode="0&quot; mo&quot;"/>
  </numFmts>
  <fonts count="15">
    <font>
      <sz val="11"/>
      <color theme="1"/>
      <name val="Calibri"/>
      <family val="2"/>
      <charset val="1"/>
    </font>
    <font>
      <sz val="10"/>
      <name val="Arial"/>
      <family val="0"/>
    </font>
    <font>
      <sz val="10"/>
      <name val="Arial"/>
      <family val="0"/>
    </font>
    <font>
      <sz val="10"/>
      <name val="Arial"/>
      <family val="0"/>
    </font>
    <font>
      <b val="true"/>
      <sz val="18"/>
      <color rgb="FFFFFFFF"/>
      <name val="Calibri"/>
      <family val="0"/>
      <charset val="1"/>
    </font>
    <font>
      <i val="true"/>
      <sz val="11"/>
      <color rgb="FFFFFFFF"/>
      <name val="Calibri"/>
      <family val="0"/>
      <charset val="1"/>
    </font>
    <font>
      <b val="true"/>
      <sz val="11"/>
      <color rgb="FF1A2332"/>
      <name val="Calibri"/>
      <family val="0"/>
      <charset val="1"/>
    </font>
    <font>
      <b val="true"/>
      <sz val="10"/>
      <color rgb="FF000000"/>
      <name val="Calibri"/>
      <family val="0"/>
      <charset val="1"/>
    </font>
    <font>
      <sz val="10"/>
      <color rgb="FF000000"/>
      <name val="Calibri"/>
      <family val="0"/>
      <charset val="1"/>
    </font>
    <font>
      <sz val="10"/>
      <color rgb="FF0000FF"/>
      <name val="Calibri"/>
      <family val="0"/>
      <charset val="1"/>
    </font>
    <font>
      <sz val="10"/>
      <color rgb="FF008000"/>
      <name val="Calibri"/>
      <family val="0"/>
      <charset val="1"/>
    </font>
    <font>
      <i val="true"/>
      <sz val="9"/>
      <color rgb="FF808080"/>
      <name val="Calibri"/>
      <family val="0"/>
      <charset val="1"/>
    </font>
    <font>
      <b val="true"/>
      <sz val="10"/>
      <color rgb="FF0000FF"/>
      <name val="Calibri"/>
      <family val="0"/>
      <charset val="1"/>
    </font>
    <font>
      <b val="true"/>
      <sz val="10"/>
      <color rgb="FFFFFFFF"/>
      <name val="Calibri"/>
      <family val="0"/>
      <charset val="1"/>
    </font>
    <font>
      <b val="true"/>
      <sz val="10"/>
      <color rgb="FF008000"/>
      <name val="Calibri"/>
      <family val="0"/>
      <charset val="1"/>
    </font>
  </fonts>
  <fills count="7">
    <fill>
      <patternFill patternType="none"/>
    </fill>
    <fill>
      <patternFill patternType="gray125"/>
    </fill>
    <fill>
      <patternFill patternType="solid">
        <fgColor rgb="FF1A2332"/>
        <bgColor rgb="FF333300"/>
      </patternFill>
    </fill>
    <fill>
      <patternFill patternType="solid">
        <fgColor rgb="FFE8E8E8"/>
        <bgColor rgb="FFF7F1E8"/>
      </patternFill>
    </fill>
    <fill>
      <patternFill patternType="solid">
        <fgColor rgb="FFFFFF00"/>
        <bgColor rgb="FFFFFF00"/>
      </patternFill>
    </fill>
    <fill>
      <patternFill patternType="solid">
        <fgColor rgb="FFE4A853"/>
        <bgColor rgb="FFFF8080"/>
      </patternFill>
    </fill>
    <fill>
      <patternFill patternType="solid">
        <fgColor rgb="FFF7F1E8"/>
        <bgColor rgb="FFE8E8E8"/>
      </patternFill>
    </fill>
  </fills>
  <borders count="2">
    <border diagonalUp="false" diagonalDown="false">
      <left/>
      <right/>
      <top/>
      <bottom/>
      <diagonal/>
    </border>
    <border diagonalUp="false" diagonalDown="false">
      <left style="thin">
        <color rgb="FF808080"/>
      </left>
      <right style="thin">
        <color rgb="FF808080"/>
      </right>
      <top style="thin">
        <color rgb="FF808080"/>
      </top>
      <bottom style="thin">
        <color rgb="FF808080"/>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59">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2" borderId="0" xfId="0" applyFont="true" applyBorder="true" applyAlignment="true" applyProtection="false">
      <alignment horizontal="left" vertical="center" textRotation="0" wrapText="false" indent="1" shrinkToFit="false"/>
      <protection locked="true" hidden="false"/>
    </xf>
    <xf numFmtId="164" fontId="5" fillId="2" borderId="0" xfId="0" applyFont="true" applyBorder="true" applyAlignment="true" applyProtection="false">
      <alignment horizontal="left" vertical="center" textRotation="0" wrapText="false" indent="1"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true" applyAlignment="true" applyProtection="false">
      <alignment horizontal="general" vertical="top" textRotation="0" wrapText="true" indent="0" shrinkToFit="false"/>
      <protection locked="true" hidden="false"/>
    </xf>
    <xf numFmtId="164" fontId="7" fillId="3" borderId="1" xfId="0" applyFont="true" applyBorder="true" applyAlignment="false" applyProtection="false">
      <alignment horizontal="general" vertical="bottom" textRotation="0" wrapText="false" indent="0" shrinkToFit="false"/>
      <protection locked="true" hidden="false"/>
    </xf>
    <xf numFmtId="164" fontId="7" fillId="0" borderId="1" xfId="0" applyFont="true" applyBorder="true" applyAlignment="false" applyProtection="false">
      <alignment horizontal="general" vertical="bottom" textRotation="0" wrapText="false" indent="0" shrinkToFit="false"/>
      <protection locked="true" hidden="false"/>
    </xf>
    <xf numFmtId="164" fontId="8" fillId="0" borderId="1" xfId="0" applyFont="true" applyBorder="true" applyAlignment="true" applyProtection="false">
      <alignment horizontal="general" vertical="center" textRotation="0" wrapText="true" indent="0" shrinkToFit="false"/>
      <protection locked="true" hidden="false"/>
    </xf>
    <xf numFmtId="164" fontId="9" fillId="0" borderId="1" xfId="0" applyFont="true" applyBorder="true" applyAlignment="false" applyProtection="false">
      <alignment horizontal="general" vertical="bottom" textRotation="0" wrapText="false" indent="0" shrinkToFit="false"/>
      <protection locked="true" hidden="false"/>
    </xf>
    <xf numFmtId="164" fontId="8" fillId="0" borderId="1" xfId="0" applyFont="true" applyBorder="true" applyAlignment="false" applyProtection="false">
      <alignment horizontal="general" vertical="bottom" textRotation="0" wrapText="false" indent="0" shrinkToFit="false"/>
      <protection locked="true" hidden="false"/>
    </xf>
    <xf numFmtId="164" fontId="10" fillId="0" borderId="1" xfId="0" applyFont="true" applyBorder="true" applyAlignment="false" applyProtection="false">
      <alignment horizontal="general" vertical="bottom" textRotation="0" wrapText="false" indent="0" shrinkToFit="false"/>
      <protection locked="true" hidden="false"/>
    </xf>
    <xf numFmtId="164" fontId="7" fillId="4" borderId="1" xfId="0" applyFont="true" applyBorder="true" applyAlignment="false" applyProtection="false">
      <alignment horizontal="general" vertical="bottom" textRotation="0" wrapText="false" indent="0" shrinkToFit="false"/>
      <protection locked="true" hidden="false"/>
    </xf>
    <xf numFmtId="165" fontId="10" fillId="0" borderId="1" xfId="0" applyFont="true" applyBorder="true" applyAlignment="true" applyProtection="false">
      <alignment horizontal="right" vertical="bottom" textRotation="0" wrapText="false" indent="0" shrinkToFit="false"/>
      <protection locked="true" hidden="false"/>
    </xf>
    <xf numFmtId="164" fontId="11" fillId="0" borderId="0" xfId="0" applyFont="true" applyBorder="false" applyAlignment="false" applyProtection="false">
      <alignment horizontal="general" vertical="bottom" textRotation="0" wrapText="false" indent="0" shrinkToFit="false"/>
      <protection locked="true" hidden="false"/>
    </xf>
    <xf numFmtId="164" fontId="6" fillId="5" borderId="0" xfId="0" applyFont="true" applyBorder="true" applyAlignment="true" applyProtection="false">
      <alignment horizontal="left" vertical="center" textRotation="0" wrapText="false" indent="1"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6" fontId="9" fillId="0" borderId="0" xfId="0" applyFont="true" applyBorder="false" applyAlignment="false" applyProtection="false">
      <alignment horizontal="general" vertical="bottom" textRotation="0" wrapText="false" indent="0" shrinkToFit="false"/>
      <protection locked="true" hidden="false"/>
    </xf>
    <xf numFmtId="165" fontId="12" fillId="4" borderId="0" xfId="0" applyFont="true" applyBorder="false" applyAlignment="false" applyProtection="false">
      <alignment horizontal="general" vertical="bottom" textRotation="0" wrapText="false" indent="0" shrinkToFit="false"/>
      <protection locked="true" hidden="false"/>
    </xf>
    <xf numFmtId="166" fontId="12" fillId="4" borderId="0" xfId="0" applyFont="true" applyBorder="false" applyAlignment="false" applyProtection="false">
      <alignment horizontal="general" vertical="bottom" textRotation="0" wrapText="false" indent="0" shrinkToFit="false"/>
      <protection locked="true" hidden="false"/>
    </xf>
    <xf numFmtId="164" fontId="7" fillId="3" borderId="1" xfId="0" applyFont="true" applyBorder="true" applyAlignment="true" applyProtection="false">
      <alignment horizontal="center" vertical="bottom" textRotation="0" wrapText="false" indent="0" shrinkToFit="false"/>
      <protection locked="true" hidden="false"/>
    </xf>
    <xf numFmtId="166" fontId="12" fillId="4" borderId="0" xfId="0" applyFont="true" applyBorder="false" applyAlignment="true" applyProtection="false">
      <alignment horizontal="center" vertical="bottom" textRotation="0" wrapText="false" indent="0" shrinkToFit="false"/>
      <protection locked="true" hidden="false"/>
    </xf>
    <xf numFmtId="167" fontId="12" fillId="4" borderId="0" xfId="0" applyFont="true" applyBorder="false" applyAlignment="true" applyProtection="false">
      <alignment horizontal="center" vertical="bottom" textRotation="0" wrapText="false" indent="0" shrinkToFit="false"/>
      <protection locked="true" hidden="false"/>
    </xf>
    <xf numFmtId="165" fontId="9" fillId="0" borderId="0" xfId="0" applyFont="true" applyBorder="false" applyAlignment="true" applyProtection="false">
      <alignment horizontal="center" vertical="bottom" textRotation="0" wrapText="false" indent="0" shrinkToFit="false"/>
      <protection locked="true" hidden="false"/>
    </xf>
    <xf numFmtId="167" fontId="9" fillId="0" borderId="0" xfId="0" applyFont="true" applyBorder="false" applyAlignment="true" applyProtection="false">
      <alignment horizontal="center" vertical="bottom" textRotation="0" wrapText="false" indent="0" shrinkToFit="false"/>
      <protection locked="true" hidden="false"/>
    </xf>
    <xf numFmtId="165" fontId="9" fillId="0" borderId="0" xfId="0" applyFont="true" applyBorder="false" applyAlignment="false" applyProtection="false">
      <alignment horizontal="general" vertical="bottom" textRotation="0" wrapText="false" indent="0" shrinkToFit="false"/>
      <protection locked="true" hidden="false"/>
    </xf>
    <xf numFmtId="168" fontId="9" fillId="0" borderId="0" xfId="0" applyFont="true" applyBorder="false" applyAlignment="false" applyProtection="false">
      <alignment horizontal="general" vertical="bottom" textRotation="0" wrapText="false" indent="0" shrinkToFit="false"/>
      <protection locked="true" hidden="false"/>
    </xf>
    <xf numFmtId="167" fontId="9" fillId="0" borderId="0" xfId="0" applyFont="true" applyBorder="false" applyAlignment="false" applyProtection="false">
      <alignment horizontal="general" vertical="bottom" textRotation="0" wrapText="false" indent="0" shrinkToFit="false"/>
      <protection locked="true" hidden="false"/>
    </xf>
    <xf numFmtId="166" fontId="9" fillId="0" borderId="0" xfId="0" applyFont="true" applyBorder="false" applyAlignment="true" applyProtection="false">
      <alignment horizontal="center" vertical="bottom" textRotation="0" wrapText="false" indent="0" shrinkToFit="false"/>
      <protection locked="true" hidden="false"/>
    </xf>
    <xf numFmtId="164" fontId="7" fillId="3" borderId="0" xfId="0" applyFont="true" applyBorder="false" applyAlignment="false" applyProtection="false">
      <alignment horizontal="general" vertical="bottom" textRotation="0" wrapText="false" indent="0" shrinkToFit="false"/>
      <protection locked="true" hidden="false"/>
    </xf>
    <xf numFmtId="169" fontId="9" fillId="0" borderId="0" xfId="0" applyFont="true" applyBorder="false" applyAlignment="false" applyProtection="false">
      <alignment horizontal="general" vertical="bottom" textRotation="0" wrapText="false" indent="0" shrinkToFit="false"/>
      <protection locked="true" hidden="false"/>
    </xf>
    <xf numFmtId="164" fontId="13" fillId="2" borderId="1" xfId="0" applyFont="true" applyBorder="true" applyAlignment="true" applyProtection="false">
      <alignment horizontal="center" vertical="bottom" textRotation="0" wrapText="false" indent="0" shrinkToFit="false"/>
      <protection locked="true" hidden="false"/>
    </xf>
    <xf numFmtId="166" fontId="11" fillId="0" borderId="0" xfId="0" applyFont="true" applyBorder="false" applyAlignment="true" applyProtection="false">
      <alignment horizontal="center" vertical="bottom" textRotation="0" wrapText="false" indent="0" shrinkToFit="false"/>
      <protection locked="true" hidden="false"/>
    </xf>
    <xf numFmtId="164" fontId="11" fillId="0" borderId="0" xfId="0" applyFont="true" applyBorder="false" applyAlignment="true" applyProtection="false">
      <alignment horizontal="center" vertical="bottom" textRotation="0" wrapText="false" indent="0" shrinkToFit="false"/>
      <protection locked="true" hidden="false"/>
    </xf>
    <xf numFmtId="166" fontId="10" fillId="0" borderId="0" xfId="0" applyFont="true" applyBorder="false" applyAlignment="true" applyProtection="false">
      <alignment horizontal="right" vertical="bottom" textRotation="0" wrapText="false" indent="0" shrinkToFit="false"/>
      <protection locked="true" hidden="false"/>
    </xf>
    <xf numFmtId="166" fontId="8" fillId="0" borderId="0" xfId="0" applyFont="true" applyBorder="false" applyAlignment="true" applyProtection="false">
      <alignment horizontal="right" vertical="bottom" textRotation="0" wrapText="false" indent="0" shrinkToFit="false"/>
      <protection locked="true" hidden="false"/>
    </xf>
    <xf numFmtId="167" fontId="10" fillId="0" borderId="0" xfId="0" applyFont="true" applyBorder="false" applyAlignment="true" applyProtection="false">
      <alignment horizontal="right" vertical="bottom" textRotation="0" wrapText="false" indent="0" shrinkToFit="false"/>
      <protection locked="true" hidden="false"/>
    </xf>
    <xf numFmtId="165" fontId="10" fillId="0" borderId="0" xfId="0" applyFont="true" applyBorder="false" applyAlignment="true" applyProtection="false">
      <alignment horizontal="right" vertical="bottom" textRotation="0" wrapText="false" indent="0" shrinkToFit="false"/>
      <protection locked="true" hidden="false"/>
    </xf>
    <xf numFmtId="164" fontId="7" fillId="0" borderId="0" xfId="0" applyFont="true" applyBorder="false" applyAlignment="false" applyProtection="false">
      <alignment horizontal="general" vertical="bottom" textRotation="0" wrapText="false" indent="0" shrinkToFit="false"/>
      <protection locked="true" hidden="false"/>
    </xf>
    <xf numFmtId="165" fontId="7" fillId="6" borderId="1" xfId="0" applyFont="true" applyBorder="true" applyAlignment="true" applyProtection="false">
      <alignment horizontal="right" vertical="bottom" textRotation="0" wrapText="false" indent="0" shrinkToFit="false"/>
      <protection locked="true" hidden="false"/>
    </xf>
    <xf numFmtId="165" fontId="7" fillId="5" borderId="1" xfId="0" applyFont="true" applyBorder="true" applyAlignment="true" applyProtection="false">
      <alignment horizontal="right" vertical="bottom" textRotation="0" wrapText="false" indent="0" shrinkToFit="false"/>
      <protection locked="true" hidden="false"/>
    </xf>
    <xf numFmtId="165" fontId="7" fillId="0" borderId="0" xfId="0" applyFont="true" applyBorder="false" applyAlignment="false" applyProtection="false">
      <alignment horizontal="general" vertical="bottom" textRotation="0" wrapText="false" indent="0" shrinkToFit="false"/>
      <protection locked="true" hidden="false"/>
    </xf>
    <xf numFmtId="165" fontId="10" fillId="0" borderId="0" xfId="0" applyFont="true" applyBorder="false" applyAlignment="true" applyProtection="false">
      <alignment horizontal="center" vertical="bottom" textRotation="0" wrapText="false" indent="0" shrinkToFit="false"/>
      <protection locked="true" hidden="false"/>
    </xf>
    <xf numFmtId="165" fontId="8" fillId="0" borderId="0" xfId="0" applyFont="true" applyBorder="false" applyAlignment="true" applyProtection="false">
      <alignment horizontal="center" vertical="bottom" textRotation="0" wrapText="false" indent="0" shrinkToFit="false"/>
      <protection locked="true" hidden="false"/>
    </xf>
    <xf numFmtId="169" fontId="7" fillId="6" borderId="0" xfId="0" applyFont="true" applyBorder="false" applyAlignment="true" applyProtection="false">
      <alignment horizontal="center" vertical="bottom" textRotation="0" wrapText="false" indent="0" shrinkToFit="false"/>
      <protection locked="true" hidden="false"/>
    </xf>
    <xf numFmtId="170" fontId="8" fillId="0" borderId="0" xfId="0" applyFont="true" applyBorder="false" applyAlignment="true" applyProtection="false">
      <alignment horizontal="center" vertical="bottom" textRotation="0" wrapText="false" indent="0" shrinkToFit="false"/>
      <protection locked="true" hidden="false"/>
    </xf>
    <xf numFmtId="164" fontId="8" fillId="0" borderId="0" xfId="0" applyFont="true" applyBorder="true" applyAlignment="true" applyProtection="false">
      <alignment horizontal="general" vertical="top" textRotation="0" wrapText="true" indent="0" shrinkToFit="false"/>
      <protection locked="true" hidden="false"/>
    </xf>
    <xf numFmtId="165" fontId="10" fillId="0" borderId="0" xfId="0" applyFont="true" applyBorder="false" applyAlignment="false" applyProtection="false">
      <alignment horizontal="general" vertical="bottom" textRotation="0" wrapText="false" indent="0" shrinkToFit="false"/>
      <protection locked="true" hidden="false"/>
    </xf>
    <xf numFmtId="165" fontId="8" fillId="0" borderId="0" xfId="0" applyFont="true" applyBorder="false" applyAlignment="false" applyProtection="false">
      <alignment horizontal="general" vertical="bottom" textRotation="0" wrapText="false" indent="0" shrinkToFit="false"/>
      <protection locked="true" hidden="false"/>
    </xf>
    <xf numFmtId="165" fontId="7" fillId="6" borderId="0" xfId="0" applyFont="true" applyBorder="false" applyAlignment="false" applyProtection="false">
      <alignment horizontal="general" vertical="bottom" textRotation="0" wrapText="false" indent="0" shrinkToFit="false"/>
      <protection locked="true" hidden="false"/>
    </xf>
    <xf numFmtId="167" fontId="11" fillId="0" borderId="0" xfId="0" applyFont="true" applyBorder="false" applyAlignment="false" applyProtection="false">
      <alignment horizontal="general" vertical="bottom" textRotation="0" wrapText="false" indent="0" shrinkToFit="false"/>
      <protection locked="true" hidden="false"/>
    </xf>
    <xf numFmtId="165" fontId="7" fillId="5" borderId="0" xfId="0" applyFont="true" applyBorder="false" applyAlignment="false" applyProtection="false">
      <alignment horizontal="general" vertical="bottom" textRotation="0" wrapText="false" indent="0" shrinkToFit="false"/>
      <protection locked="true" hidden="false"/>
    </xf>
    <xf numFmtId="165" fontId="11" fillId="0" borderId="0" xfId="0" applyFont="true" applyBorder="false" applyAlignment="false" applyProtection="false">
      <alignment horizontal="general" vertical="bottom" textRotation="0" wrapText="false" indent="0" shrinkToFit="false"/>
      <protection locked="true" hidden="false"/>
    </xf>
    <xf numFmtId="171" fontId="7" fillId="0" borderId="0" xfId="0" applyFont="true" applyBorder="false" applyAlignment="false" applyProtection="false">
      <alignment horizontal="general" vertical="bottom" textRotation="0" wrapText="false" indent="0" shrinkToFit="false"/>
      <protection locked="true" hidden="false"/>
    </xf>
    <xf numFmtId="169" fontId="10" fillId="0" borderId="0" xfId="0" applyFont="true" applyBorder="false" applyAlignment="true" applyProtection="false">
      <alignment horizontal="center" vertical="bottom" textRotation="0" wrapText="false" indent="0" shrinkToFit="false"/>
      <protection locked="true" hidden="false"/>
    </xf>
    <xf numFmtId="165" fontId="14" fillId="5" borderId="0" xfId="0" applyFont="true" applyBorder="false" applyAlignment="false" applyProtection="false">
      <alignment horizontal="general" vertical="bottom" textRotation="0" wrapText="false" indent="0" shrinkToFit="false"/>
      <protection locked="true" hidden="false"/>
    </xf>
    <xf numFmtId="167" fontId="8" fillId="0" borderId="0" xfId="0" applyFont="true" applyBorder="false" applyAlignment="false" applyProtection="false">
      <alignment horizontal="general" vertical="bottom" textRotation="0" wrapText="false" indent="0" shrinkToFit="false"/>
      <protection locked="true" hidden="false"/>
    </xf>
    <xf numFmtId="164" fontId="7" fillId="6" borderId="0" xfId="0" applyFont="true" applyBorder="false" applyAlignment="true" applyProtection="false">
      <alignment horizontal="right" vertical="bottom" textRotation="0" wrapText="false" indent="0" shrinkToFit="false"/>
      <protection locked="true" hidden="false"/>
    </xf>
    <xf numFmtId="171" fontId="8" fillId="0" borderId="0" xfId="0" applyFont="true" applyBorder="false" applyAlignment="true" applyProtection="false">
      <alignment horizontal="center"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7F1E8"/>
      <rgbColor rgb="FFE8E8E8"/>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E4A853"/>
      <rgbColor rgb="FFFF6600"/>
      <rgbColor rgb="FF666699"/>
      <rgbColor rgb="FF969696"/>
      <rgbColor rgb="FF003366"/>
      <rgbColor rgb="FF339966"/>
      <rgbColor rgb="FF003300"/>
      <rgbColor rgb="FF333300"/>
      <rgbColor rgb="FF993300"/>
      <rgbColor rgb="FF993366"/>
      <rgbColor rgb="FF333399"/>
      <rgbColor rgb="FF1A2332"/>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 Id="rId9" Type="http://schemas.openxmlformats.org/officeDocument/2006/relationships/worksheet" Target="worksheets/sheet7.xml"/><Relationship Id="rId10" Type="http://schemas.openxmlformats.org/officeDocument/2006/relationships/worksheet" Target="worksheets/sheet8.xml"/><Relationship Id="rId11"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H36"/>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0" width="2"/>
    <col collapsed="false" customWidth="true" hidden="false" outlineLevel="0" max="2" min="2" style="0" width="30"/>
    <col collapsed="false" customWidth="true" hidden="false" outlineLevel="0" max="3" min="3" style="0" width="50"/>
    <col collapsed="false" customWidth="true" hidden="false" outlineLevel="0" max="4" min="4" style="0" width="30"/>
    <col collapsed="false" customWidth="true" hidden="false" outlineLevel="0" max="8" min="5" style="0" width="20"/>
  </cols>
  <sheetData>
    <row r="1" customFormat="false" ht="31.5" hidden="false" customHeight="true" outlineLevel="0" collapsed="false">
      <c r="A1" s="1" t="s">
        <v>0</v>
      </c>
      <c r="B1" s="1"/>
      <c r="C1" s="1"/>
      <c r="D1" s="1"/>
      <c r="E1" s="1"/>
      <c r="F1" s="1"/>
      <c r="G1" s="1"/>
      <c r="H1" s="1"/>
    </row>
    <row r="2" customFormat="false" ht="19.5" hidden="false" customHeight="true" outlineLevel="0" collapsed="false">
      <c r="A2" s="2" t="s">
        <v>1</v>
      </c>
      <c r="B2" s="2"/>
      <c r="C2" s="2"/>
      <c r="D2" s="2"/>
      <c r="E2" s="2"/>
      <c r="F2" s="2"/>
      <c r="G2" s="2"/>
      <c r="H2" s="2"/>
    </row>
    <row r="3" customFormat="false" ht="9.75" hidden="false" customHeight="true" outlineLevel="0" collapsed="false"/>
    <row r="5" customFormat="false" ht="15" hidden="false" customHeight="false" outlineLevel="0" collapsed="false">
      <c r="B5" s="3" t="s">
        <v>2</v>
      </c>
    </row>
    <row r="6" customFormat="false" ht="21.75" hidden="false" customHeight="true" outlineLevel="0" collapsed="false">
      <c r="B6" s="4" t="s">
        <v>3</v>
      </c>
      <c r="C6" s="4"/>
      <c r="D6" s="4"/>
      <c r="E6" s="4"/>
      <c r="F6" s="4"/>
      <c r="G6" s="4"/>
    </row>
    <row r="7" customFormat="false" ht="21.75" hidden="false" customHeight="true" outlineLevel="0" collapsed="false">
      <c r="B7" s="4"/>
      <c r="C7" s="4"/>
      <c r="D7" s="4"/>
      <c r="E7" s="4"/>
      <c r="F7" s="4"/>
      <c r="G7" s="4"/>
    </row>
    <row r="8" customFormat="false" ht="21.75" hidden="false" customHeight="true" outlineLevel="0" collapsed="false">
      <c r="B8" s="4"/>
      <c r="C8" s="4"/>
      <c r="D8" s="4"/>
      <c r="E8" s="4"/>
      <c r="F8" s="4"/>
      <c r="G8" s="4"/>
    </row>
    <row r="9" customFormat="false" ht="21.75" hidden="false" customHeight="true" outlineLevel="0" collapsed="false">
      <c r="B9" s="4"/>
      <c r="C9" s="4"/>
      <c r="D9" s="4"/>
      <c r="E9" s="4"/>
      <c r="F9" s="4"/>
      <c r="G9" s="4"/>
    </row>
    <row r="11" customFormat="false" ht="15" hidden="false" customHeight="false" outlineLevel="0" collapsed="false">
      <c r="B11" s="3" t="s">
        <v>4</v>
      </c>
    </row>
    <row r="12" customFormat="false" ht="15" hidden="false" customHeight="false" outlineLevel="0" collapsed="false">
      <c r="B12" s="5" t="s">
        <v>5</v>
      </c>
      <c r="C12" s="5" t="s">
        <v>6</v>
      </c>
    </row>
    <row r="13" customFormat="false" ht="19.5" hidden="false" customHeight="true" outlineLevel="0" collapsed="false">
      <c r="B13" s="6" t="s">
        <v>7</v>
      </c>
      <c r="C13" s="7" t="s">
        <v>8</v>
      </c>
    </row>
    <row r="14" customFormat="false" ht="19.5" hidden="false" customHeight="true" outlineLevel="0" collapsed="false">
      <c r="B14" s="6" t="s">
        <v>9</v>
      </c>
      <c r="C14" s="7" t="s">
        <v>10</v>
      </c>
    </row>
    <row r="15" customFormat="false" ht="19.5" hidden="false" customHeight="true" outlineLevel="0" collapsed="false">
      <c r="B15" s="6" t="s">
        <v>11</v>
      </c>
      <c r="C15" s="7" t="s">
        <v>12</v>
      </c>
    </row>
    <row r="16" customFormat="false" ht="19.5" hidden="false" customHeight="true" outlineLevel="0" collapsed="false">
      <c r="B16" s="6" t="s">
        <v>13</v>
      </c>
      <c r="C16" s="7" t="s">
        <v>14</v>
      </c>
    </row>
    <row r="17" customFormat="false" ht="19.5" hidden="false" customHeight="true" outlineLevel="0" collapsed="false">
      <c r="B17" s="6" t="s">
        <v>15</v>
      </c>
      <c r="C17" s="7" t="s">
        <v>16</v>
      </c>
    </row>
    <row r="18" customFormat="false" ht="19.5" hidden="false" customHeight="true" outlineLevel="0" collapsed="false">
      <c r="B18" s="6" t="s">
        <v>17</v>
      </c>
      <c r="C18" s="7" t="s">
        <v>18</v>
      </c>
    </row>
    <row r="19" customFormat="false" ht="19.5" hidden="false" customHeight="true" outlineLevel="0" collapsed="false">
      <c r="B19" s="6" t="s">
        <v>19</v>
      </c>
      <c r="C19" s="7" t="s">
        <v>20</v>
      </c>
    </row>
    <row r="22" customFormat="false" ht="15" hidden="false" customHeight="false" outlineLevel="0" collapsed="false">
      <c r="B22" s="3" t="s">
        <v>21</v>
      </c>
    </row>
    <row r="23" customFormat="false" ht="18" hidden="false" customHeight="true" outlineLevel="0" collapsed="false">
      <c r="B23" s="8" t="s">
        <v>22</v>
      </c>
      <c r="C23" s="9" t="s">
        <v>23</v>
      </c>
    </row>
    <row r="24" customFormat="false" ht="18" hidden="false" customHeight="true" outlineLevel="0" collapsed="false">
      <c r="B24" s="9" t="s">
        <v>24</v>
      </c>
      <c r="C24" s="9" t="s">
        <v>25</v>
      </c>
    </row>
    <row r="25" customFormat="false" ht="18" hidden="false" customHeight="true" outlineLevel="0" collapsed="false">
      <c r="B25" s="10" t="s">
        <v>26</v>
      </c>
      <c r="C25" s="9" t="s">
        <v>27</v>
      </c>
    </row>
    <row r="26" customFormat="false" ht="18" hidden="false" customHeight="true" outlineLevel="0" collapsed="false">
      <c r="B26" s="11" t="s">
        <v>28</v>
      </c>
      <c r="C26" s="9" t="s">
        <v>29</v>
      </c>
    </row>
    <row r="28" customFormat="false" ht="15" hidden="false" customHeight="false" outlineLevel="0" collapsed="false">
      <c r="B28" s="3" t="s">
        <v>30</v>
      </c>
    </row>
    <row r="29" customFormat="false" ht="18" hidden="false" customHeight="true" outlineLevel="0" collapsed="false">
      <c r="B29" s="9" t="s">
        <v>31</v>
      </c>
      <c r="C29" s="12" t="n">
        <f aca="false">'8 · Funding'!C7</f>
        <v>750000</v>
      </c>
    </row>
    <row r="30" customFormat="false" ht="18" hidden="false" customHeight="true" outlineLevel="0" collapsed="false">
      <c r="B30" s="9" t="s">
        <v>32</v>
      </c>
      <c r="C30" s="12" t="n">
        <f aca="false">C29/0.2</f>
        <v>3750000</v>
      </c>
    </row>
    <row r="31" customFormat="false" ht="18" hidden="false" customHeight="true" outlineLevel="0" collapsed="false">
      <c r="B31" s="9" t="s">
        <v>33</v>
      </c>
      <c r="C31" s="12" t="n">
        <f aca="false">'5 · P&amp;L'!O8*12</f>
        <v>554040</v>
      </c>
    </row>
    <row r="32" customFormat="false" ht="18" hidden="false" customHeight="true" outlineLevel="0" collapsed="false">
      <c r="B32" s="9" t="s">
        <v>34</v>
      </c>
      <c r="C32" s="12" t="n">
        <f aca="false">'5 · P&amp;L'!AA8*12</f>
        <v>3564000</v>
      </c>
    </row>
    <row r="33" customFormat="false" ht="18" hidden="false" customHeight="true" outlineLevel="0" collapsed="false">
      <c r="B33" s="9" t="s">
        <v>35</v>
      </c>
      <c r="C33" s="12" t="n">
        <f aca="false">'6 · Cash &amp; Runway'!AA14</f>
        <v>199026.875</v>
      </c>
    </row>
    <row r="34" customFormat="false" ht="18" hidden="false" customHeight="true" outlineLevel="0" collapsed="false">
      <c r="B34" s="9" t="s">
        <v>36</v>
      </c>
      <c r="C34" s="12" t="n">
        <f aca="false">MAX('6 · Cash &amp; Runway'!D13:AA13)</f>
        <v>52487.5416666667</v>
      </c>
    </row>
    <row r="36" customFormat="false" ht="15" hidden="false" customHeight="false" outlineLevel="0" collapsed="false">
      <c r="B36" s="13" t="s">
        <v>37</v>
      </c>
    </row>
  </sheetData>
  <mergeCells count="3">
    <mergeCell ref="A1:H1"/>
    <mergeCell ref="A2:H2"/>
    <mergeCell ref="B6:G9"/>
  </mergeCells>
  <printOptions headings="false" gridLines="false" gridLinesSet="true" horizontalCentered="false" verticalCentered="false"/>
  <pageMargins left="0.4" right="0.4" top="0.4" bottom="0.4" header="0.511811023622047" footer="0.511811023622047"/>
  <pageSetup paperSize="1"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G54"/>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1" ySplit="4" topLeftCell="B5" activePane="bottomRight" state="frozen"/>
      <selection pane="topLeft" activeCell="A1" activeCellId="0" sqref="A1"/>
      <selection pane="topRight" activeCell="B1" activeCellId="0" sqref="B1"/>
      <selection pane="bottomLeft" activeCell="A5" activeCellId="0" sqref="A5"/>
      <selection pane="bottomRight" activeCell="A1" activeCellId="0" sqref="A1"/>
    </sheetView>
  </sheetViews>
  <sheetFormatPr defaultColWidth="8.6796875" defaultRowHeight="15" customHeight="false" zeroHeight="false" outlineLevelRow="0" outlineLevelCol="0"/>
  <cols>
    <col collapsed="false" customWidth="true" hidden="false" outlineLevel="0" max="1" min="1" style="0" width="2"/>
    <col collapsed="false" customWidth="true" hidden="false" outlineLevel="0" max="2" min="2" style="0" width="36"/>
    <col collapsed="false" customWidth="true" hidden="false" outlineLevel="0" max="5" min="3" style="0" width="14"/>
    <col collapsed="false" customWidth="true" hidden="false" outlineLevel="0" max="6" min="6" style="0" width="20"/>
    <col collapsed="false" customWidth="true" hidden="false" outlineLevel="0" max="7" min="7" style="0" width="40"/>
  </cols>
  <sheetData>
    <row r="1" customFormat="false" ht="31.5" hidden="false" customHeight="true" outlineLevel="0" collapsed="false">
      <c r="A1" s="1" t="s">
        <v>38</v>
      </c>
      <c r="B1" s="1"/>
      <c r="C1" s="1"/>
      <c r="D1" s="1"/>
      <c r="E1" s="1"/>
      <c r="F1" s="1"/>
      <c r="G1" s="1"/>
    </row>
    <row r="2" customFormat="false" ht="19.5" hidden="false" customHeight="true" outlineLevel="0" collapsed="false">
      <c r="A2" s="2" t="s">
        <v>39</v>
      </c>
      <c r="B2" s="2"/>
      <c r="C2" s="2"/>
      <c r="D2" s="2"/>
      <c r="E2" s="2"/>
      <c r="F2" s="2"/>
      <c r="G2" s="2"/>
    </row>
    <row r="4" customFormat="false" ht="15" hidden="false" customHeight="false" outlineLevel="0" collapsed="false">
      <c r="B4" s="5" t="s">
        <v>40</v>
      </c>
      <c r="C4" s="5" t="s">
        <v>41</v>
      </c>
      <c r="G4" s="5" t="s">
        <v>42</v>
      </c>
    </row>
    <row r="5" customFormat="false" ht="21.75" hidden="false" customHeight="true" outlineLevel="0" collapsed="false">
      <c r="B5" s="14" t="s">
        <v>43</v>
      </c>
      <c r="C5" s="14"/>
      <c r="D5" s="14"/>
      <c r="E5" s="14"/>
      <c r="F5" s="14"/>
    </row>
    <row r="6" customFormat="false" ht="15" hidden="false" customHeight="false" outlineLevel="0" collapsed="false">
      <c r="B6" s="15" t="s">
        <v>44</v>
      </c>
      <c r="C6" s="16" t="s">
        <v>45</v>
      </c>
      <c r="G6" s="13" t="s">
        <v>46</v>
      </c>
    </row>
    <row r="7" customFormat="false" ht="15" hidden="false" customHeight="false" outlineLevel="0" collapsed="false">
      <c r="B7" s="15" t="s">
        <v>47</v>
      </c>
      <c r="C7" s="17" t="n">
        <v>24</v>
      </c>
      <c r="G7" s="13" t="s">
        <v>48</v>
      </c>
    </row>
    <row r="8" customFormat="false" ht="15" hidden="false" customHeight="false" outlineLevel="0" collapsed="false">
      <c r="B8" s="15" t="s">
        <v>49</v>
      </c>
      <c r="C8" s="17" t="n">
        <v>1</v>
      </c>
      <c r="G8" s="13" t="s">
        <v>50</v>
      </c>
    </row>
    <row r="10" customFormat="false" ht="21.75" hidden="false" customHeight="true" outlineLevel="0" collapsed="false">
      <c r="B10" s="14" t="s">
        <v>51</v>
      </c>
      <c r="C10" s="14"/>
      <c r="D10" s="14"/>
      <c r="E10" s="14"/>
      <c r="F10" s="14"/>
    </row>
    <row r="11" customFormat="false" ht="15" hidden="false" customHeight="false" outlineLevel="0" collapsed="false">
      <c r="B11" s="15" t="s">
        <v>52</v>
      </c>
      <c r="C11" s="18" t="n">
        <v>25000</v>
      </c>
      <c r="G11" s="13" t="s">
        <v>53</v>
      </c>
    </row>
    <row r="12" customFormat="false" ht="15" hidden="false" customHeight="false" outlineLevel="0" collapsed="false">
      <c r="B12" s="15" t="s">
        <v>54</v>
      </c>
      <c r="C12" s="18" t="n">
        <v>750000</v>
      </c>
      <c r="G12" s="13" t="s">
        <v>55</v>
      </c>
    </row>
    <row r="13" customFormat="false" ht="15" hidden="false" customHeight="false" outlineLevel="0" collapsed="false">
      <c r="B13" s="15" t="s">
        <v>56</v>
      </c>
      <c r="C13" s="19" t="n">
        <v>1</v>
      </c>
      <c r="G13" s="13" t="s">
        <v>57</v>
      </c>
    </row>
    <row r="15" customFormat="false" ht="21.75" hidden="false" customHeight="true" outlineLevel="0" collapsed="false">
      <c r="B15" s="14" t="s">
        <v>58</v>
      </c>
      <c r="C15" s="14"/>
      <c r="D15" s="14"/>
      <c r="E15" s="14"/>
      <c r="F15" s="14"/>
    </row>
    <row r="16" customFormat="false" ht="15" hidden="false" customHeight="false" outlineLevel="0" collapsed="false">
      <c r="B16" s="20" t="s">
        <v>59</v>
      </c>
      <c r="C16" s="20" t="s">
        <v>60</v>
      </c>
      <c r="D16" s="20" t="s">
        <v>61</v>
      </c>
      <c r="E16" s="20" t="s">
        <v>62</v>
      </c>
      <c r="F16" s="20" t="s">
        <v>63</v>
      </c>
      <c r="G16" s="5" t="s">
        <v>64</v>
      </c>
    </row>
    <row r="17" customFormat="false" ht="15" hidden="false" customHeight="false" outlineLevel="0" collapsed="false">
      <c r="B17" s="15" t="s">
        <v>65</v>
      </c>
      <c r="C17" s="21" t="n">
        <v>100</v>
      </c>
      <c r="D17" s="21" t="n">
        <v>400</v>
      </c>
      <c r="E17" s="21" t="n">
        <v>1500</v>
      </c>
      <c r="F17" s="21" t="n">
        <v>5000</v>
      </c>
      <c r="G17" s="13" t="s">
        <v>66</v>
      </c>
    </row>
    <row r="18" customFormat="false" ht="15" hidden="false" customHeight="false" outlineLevel="0" collapsed="false">
      <c r="B18" s="15" t="s">
        <v>67</v>
      </c>
      <c r="C18" s="22" t="n">
        <v>0.04</v>
      </c>
      <c r="D18" s="22" t="n">
        <v>0.06</v>
      </c>
      <c r="E18" s="22" t="n">
        <v>0.09</v>
      </c>
      <c r="F18" s="22" t="n">
        <v>0.15</v>
      </c>
      <c r="G18" s="13" t="s">
        <v>68</v>
      </c>
    </row>
    <row r="19" customFormat="false" ht="15" hidden="false" customHeight="false" outlineLevel="0" collapsed="false">
      <c r="B19" s="15" t="s">
        <v>69</v>
      </c>
      <c r="C19" s="23" t="n">
        <v>85</v>
      </c>
      <c r="D19" s="23" t="n">
        <v>90</v>
      </c>
      <c r="E19" s="23" t="n">
        <v>95</v>
      </c>
      <c r="F19" s="23" t="n">
        <v>110</v>
      </c>
      <c r="G19" s="13" t="s">
        <v>70</v>
      </c>
    </row>
    <row r="20" customFormat="false" ht="15" hidden="false" customHeight="false" outlineLevel="0" collapsed="false">
      <c r="B20" s="15" t="s">
        <v>71</v>
      </c>
      <c r="C20" s="24" t="n">
        <v>0.1</v>
      </c>
      <c r="D20" s="24" t="n">
        <v>0.1</v>
      </c>
      <c r="E20" s="24" t="n">
        <v>0.12</v>
      </c>
      <c r="F20" s="24" t="n">
        <v>0.12</v>
      </c>
      <c r="G20" s="13" t="s">
        <v>72</v>
      </c>
    </row>
    <row r="22" customFormat="false" ht="21.75" hidden="false" customHeight="true" outlineLevel="0" collapsed="false">
      <c r="B22" s="14" t="s">
        <v>73</v>
      </c>
      <c r="C22" s="14"/>
      <c r="D22" s="14"/>
      <c r="E22" s="14"/>
      <c r="F22" s="14"/>
    </row>
    <row r="23" customFormat="false" ht="15" hidden="false" customHeight="false" outlineLevel="0" collapsed="false">
      <c r="B23" s="15" t="s">
        <v>74</v>
      </c>
      <c r="C23" s="25" t="n">
        <v>25</v>
      </c>
      <c r="G23" s="13" t="s">
        <v>75</v>
      </c>
    </row>
    <row r="24" customFormat="false" ht="15" hidden="false" customHeight="false" outlineLevel="0" collapsed="false">
      <c r="B24" s="15" t="s">
        <v>76</v>
      </c>
      <c r="C24" s="25" t="n">
        <v>8</v>
      </c>
      <c r="G24" s="13" t="s">
        <v>77</v>
      </c>
    </row>
    <row r="25" customFormat="false" ht="15" hidden="false" customHeight="false" outlineLevel="0" collapsed="false">
      <c r="B25" s="15" t="s">
        <v>78</v>
      </c>
      <c r="C25" s="17" t="n">
        <v>18</v>
      </c>
      <c r="G25" s="13" t="s">
        <v>79</v>
      </c>
    </row>
    <row r="26" customFormat="false" ht="15" hidden="false" customHeight="false" outlineLevel="0" collapsed="false">
      <c r="B26" s="15" t="s">
        <v>80</v>
      </c>
      <c r="C26" s="26" t="n">
        <v>1.8</v>
      </c>
      <c r="G26" s="13" t="s">
        <v>81</v>
      </c>
    </row>
    <row r="27" customFormat="false" ht="15" hidden="false" customHeight="false" outlineLevel="0" collapsed="false">
      <c r="B27" s="15" t="s">
        <v>82</v>
      </c>
      <c r="C27" s="27" t="n">
        <v>0.029</v>
      </c>
      <c r="G27" s="13" t="s">
        <v>83</v>
      </c>
    </row>
    <row r="29" customFormat="false" ht="21.75" hidden="false" customHeight="true" outlineLevel="0" collapsed="false">
      <c r="B29" s="14" t="s">
        <v>84</v>
      </c>
      <c r="C29" s="14"/>
      <c r="D29" s="14"/>
      <c r="E29" s="14"/>
      <c r="F29" s="14"/>
    </row>
    <row r="30" customFormat="false" ht="15" hidden="false" customHeight="false" outlineLevel="0" collapsed="false">
      <c r="B30" s="20" t="s">
        <v>85</v>
      </c>
      <c r="C30" s="20" t="s">
        <v>86</v>
      </c>
      <c r="D30" s="20" t="s">
        <v>87</v>
      </c>
      <c r="E30" s="20" t="s">
        <v>88</v>
      </c>
      <c r="F30" s="20" t="s">
        <v>89</v>
      </c>
    </row>
    <row r="31" customFormat="false" ht="15" hidden="false" customHeight="false" outlineLevel="0" collapsed="false">
      <c r="B31" s="15" t="s">
        <v>90</v>
      </c>
      <c r="C31" s="28" t="n">
        <v>3</v>
      </c>
      <c r="D31" s="28" t="n">
        <v>3</v>
      </c>
      <c r="E31" s="28" t="n">
        <v>3</v>
      </c>
      <c r="F31" s="23" t="n">
        <v>5000</v>
      </c>
      <c r="G31" s="13" t="s">
        <v>91</v>
      </c>
    </row>
    <row r="32" customFormat="false" ht="15" hidden="false" customHeight="false" outlineLevel="0" collapsed="false">
      <c r="B32" s="15" t="s">
        <v>92</v>
      </c>
      <c r="C32" s="28" t="n">
        <v>0</v>
      </c>
      <c r="D32" s="28" t="n">
        <v>3</v>
      </c>
      <c r="E32" s="28" t="n">
        <v>7</v>
      </c>
      <c r="F32" s="23" t="n">
        <v>9000</v>
      </c>
      <c r="G32" s="13" t="s">
        <v>93</v>
      </c>
    </row>
    <row r="33" customFormat="false" ht="15" hidden="false" customHeight="false" outlineLevel="0" collapsed="false">
      <c r="B33" s="15" t="s">
        <v>94</v>
      </c>
      <c r="C33" s="28" t="n">
        <v>0</v>
      </c>
      <c r="D33" s="28" t="n">
        <v>1</v>
      </c>
      <c r="E33" s="28" t="n">
        <v>3</v>
      </c>
      <c r="F33" s="23" t="n">
        <v>5500</v>
      </c>
      <c r="G33" s="13" t="s">
        <v>95</v>
      </c>
    </row>
    <row r="34" customFormat="false" ht="15" hidden="false" customHeight="false" outlineLevel="0" collapsed="false">
      <c r="B34" s="15" t="s">
        <v>96</v>
      </c>
      <c r="C34" s="28" t="n">
        <v>0</v>
      </c>
      <c r="D34" s="28" t="n">
        <v>1</v>
      </c>
      <c r="E34" s="28" t="n">
        <v>2</v>
      </c>
      <c r="F34" s="23" t="n">
        <v>7000</v>
      </c>
      <c r="G34" s="13" t="s">
        <v>97</v>
      </c>
    </row>
    <row r="36" customFormat="false" ht="21.75" hidden="false" customHeight="true" outlineLevel="0" collapsed="false">
      <c r="B36" s="14" t="s">
        <v>98</v>
      </c>
      <c r="C36" s="14"/>
      <c r="D36" s="14"/>
      <c r="E36" s="14"/>
      <c r="F36" s="14"/>
    </row>
    <row r="37" customFormat="false" ht="15" hidden="false" customHeight="false" outlineLevel="0" collapsed="false">
      <c r="B37" s="15" t="s">
        <v>99</v>
      </c>
      <c r="C37" s="25" t="n">
        <v>2500</v>
      </c>
      <c r="G37" s="13" t="s">
        <v>100</v>
      </c>
    </row>
    <row r="38" customFormat="false" ht="15" hidden="false" customHeight="false" outlineLevel="0" collapsed="false">
      <c r="B38" s="15" t="s">
        <v>101</v>
      </c>
      <c r="C38" s="25" t="n">
        <v>1500</v>
      </c>
      <c r="G38" s="13" t="s">
        <v>102</v>
      </c>
    </row>
    <row r="39" customFormat="false" ht="15" hidden="false" customHeight="false" outlineLevel="0" collapsed="false">
      <c r="B39" s="15" t="s">
        <v>103</v>
      </c>
      <c r="C39" s="25" t="n">
        <v>800</v>
      </c>
      <c r="G39" s="13" t="s">
        <v>104</v>
      </c>
    </row>
    <row r="40" customFormat="false" ht="15" hidden="false" customHeight="false" outlineLevel="0" collapsed="false">
      <c r="B40" s="15" t="s">
        <v>105</v>
      </c>
      <c r="C40" s="27" t="n">
        <v>0.002</v>
      </c>
      <c r="G40" s="13" t="s">
        <v>106</v>
      </c>
    </row>
    <row r="41" customFormat="false" ht="15" hidden="false" customHeight="false" outlineLevel="0" collapsed="false">
      <c r="B41" s="15" t="s">
        <v>107</v>
      </c>
      <c r="C41" s="27" t="n">
        <v>0.005</v>
      </c>
      <c r="G41" s="13" t="s">
        <v>108</v>
      </c>
    </row>
    <row r="42" customFormat="false" ht="15" hidden="false" customHeight="false" outlineLevel="0" collapsed="false">
      <c r="B42" s="15" t="s">
        <v>109</v>
      </c>
      <c r="C42" s="25" t="n">
        <v>1200</v>
      </c>
      <c r="G42" s="13" t="s">
        <v>110</v>
      </c>
    </row>
    <row r="44" customFormat="false" ht="21.75" hidden="false" customHeight="true" outlineLevel="0" collapsed="false">
      <c r="B44" s="14" t="s">
        <v>111</v>
      </c>
      <c r="C44" s="14"/>
      <c r="D44" s="14"/>
      <c r="E44" s="14"/>
      <c r="F44" s="14"/>
    </row>
    <row r="45" customFormat="false" ht="15" hidden="false" customHeight="false" outlineLevel="0" collapsed="false">
      <c r="B45" s="15" t="s">
        <v>60</v>
      </c>
      <c r="C45" s="25" t="n">
        <v>3000</v>
      </c>
      <c r="G45" s="13" t="s">
        <v>112</v>
      </c>
    </row>
    <row r="46" customFormat="false" ht="15" hidden="false" customHeight="false" outlineLevel="0" collapsed="false">
      <c r="B46" s="15" t="s">
        <v>61</v>
      </c>
      <c r="C46" s="25" t="n">
        <v>8000</v>
      </c>
      <c r="G46" s="13" t="s">
        <v>113</v>
      </c>
    </row>
    <row r="47" customFormat="false" ht="15" hidden="false" customHeight="false" outlineLevel="0" collapsed="false">
      <c r="B47" s="15" t="s">
        <v>62</v>
      </c>
      <c r="C47" s="25" t="n">
        <v>18000</v>
      </c>
      <c r="G47" s="13" t="s">
        <v>114</v>
      </c>
    </row>
    <row r="48" customFormat="false" ht="15" hidden="false" customHeight="false" outlineLevel="0" collapsed="false">
      <c r="B48" s="15" t="s">
        <v>63</v>
      </c>
      <c r="C48" s="25" t="n">
        <v>45000</v>
      </c>
      <c r="G48" s="13" t="s">
        <v>115</v>
      </c>
    </row>
    <row r="50" customFormat="false" ht="21.75" hidden="false" customHeight="true" outlineLevel="0" collapsed="false">
      <c r="B50" s="14" t="s">
        <v>116</v>
      </c>
      <c r="C50" s="14"/>
      <c r="D50" s="14"/>
      <c r="E50" s="14"/>
      <c r="F50" s="14"/>
    </row>
    <row r="51" customFormat="false" ht="15" hidden="false" customHeight="false" outlineLevel="0" collapsed="false">
      <c r="B51" s="29" t="s">
        <v>117</v>
      </c>
      <c r="C51" s="29" t="s">
        <v>118</v>
      </c>
    </row>
    <row r="52" customFormat="false" ht="15" hidden="false" customHeight="false" outlineLevel="0" collapsed="false">
      <c r="B52" s="15" t="s">
        <v>119</v>
      </c>
      <c r="C52" s="30" t="n">
        <v>0.6</v>
      </c>
      <c r="G52" s="13" t="s">
        <v>120</v>
      </c>
    </row>
    <row r="53" customFormat="false" ht="15" hidden="false" customHeight="false" outlineLevel="0" collapsed="false">
      <c r="B53" s="15" t="s">
        <v>121</v>
      </c>
      <c r="C53" s="30" t="n">
        <v>1</v>
      </c>
      <c r="G53" s="13" t="s">
        <v>122</v>
      </c>
    </row>
    <row r="54" customFormat="false" ht="15" hidden="false" customHeight="false" outlineLevel="0" collapsed="false">
      <c r="B54" s="15" t="s">
        <v>123</v>
      </c>
      <c r="C54" s="30" t="n">
        <v>1.4</v>
      </c>
      <c r="G54" s="13" t="s">
        <v>124</v>
      </c>
    </row>
  </sheetData>
  <mergeCells count="10">
    <mergeCell ref="A1:G1"/>
    <mergeCell ref="A2:G2"/>
    <mergeCell ref="B5:F5"/>
    <mergeCell ref="B10:F10"/>
    <mergeCell ref="B15:F15"/>
    <mergeCell ref="B22:F22"/>
    <mergeCell ref="B29:F29"/>
    <mergeCell ref="B36:F36"/>
    <mergeCell ref="B44:F44"/>
    <mergeCell ref="B50:F50"/>
  </mergeCells>
  <printOptions headings="false" gridLines="false" gridLinesSet="true" horizontalCentered="false" verticalCentered="false"/>
  <pageMargins left="0.4" right="0.4" top="0.4" bottom="0.4" header="0.511811023622047" footer="0.511811023622047"/>
  <pageSetup paperSize="1" scale="100" fitToWidth="1" fitToHeight="0" pageOrder="downThenOver" orientation="landscape"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AA2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3" ySplit="4" topLeftCell="D5" activePane="bottomRight" state="frozen"/>
      <selection pane="topLeft" activeCell="A1" activeCellId="0" sqref="A1"/>
      <selection pane="topRight" activeCell="D1" activeCellId="0" sqref="D1"/>
      <selection pane="bottomLeft" activeCell="A5" activeCellId="0" sqref="A5"/>
      <selection pane="bottomRight" activeCell="A1" activeCellId="0" sqref="A1"/>
    </sheetView>
  </sheetViews>
  <sheetFormatPr defaultColWidth="8.6796875" defaultRowHeight="15" customHeight="false" zeroHeight="false" outlineLevelRow="0" outlineLevelCol="0"/>
  <cols>
    <col collapsed="false" customWidth="true" hidden="false" outlineLevel="0" max="1" min="1" style="0" width="2"/>
    <col collapsed="false" customWidth="true" hidden="false" outlineLevel="0" max="2" min="2" style="0" width="34"/>
    <col collapsed="false" customWidth="true" hidden="false" outlineLevel="0" max="3" min="3" style="0" width="12"/>
    <col collapsed="false" customWidth="true" hidden="false" outlineLevel="0" max="27" min="4" style="0" width="11"/>
  </cols>
  <sheetData>
    <row r="1" customFormat="false" ht="31.5" hidden="false" customHeight="true" outlineLevel="0" collapsed="false">
      <c r="A1" s="1" t="s">
        <v>125</v>
      </c>
      <c r="B1" s="1"/>
      <c r="C1" s="1"/>
      <c r="D1" s="1"/>
      <c r="E1" s="1"/>
      <c r="F1" s="1"/>
      <c r="G1" s="1"/>
      <c r="H1" s="1"/>
      <c r="I1" s="1"/>
      <c r="J1" s="1"/>
      <c r="K1" s="1"/>
      <c r="L1" s="1"/>
      <c r="M1" s="1"/>
      <c r="N1" s="1"/>
      <c r="O1" s="1"/>
      <c r="P1" s="1"/>
      <c r="Q1" s="1"/>
      <c r="R1" s="1"/>
      <c r="S1" s="1"/>
      <c r="T1" s="1"/>
      <c r="U1" s="1"/>
      <c r="V1" s="1"/>
      <c r="W1" s="1"/>
      <c r="X1" s="1"/>
      <c r="Y1" s="1"/>
      <c r="Z1" s="1"/>
      <c r="AA1" s="1"/>
    </row>
    <row r="2" customFormat="false" ht="19.5" hidden="false" customHeight="true" outlineLevel="0" collapsed="false">
      <c r="A2" s="2" t="s">
        <v>126</v>
      </c>
      <c r="B2" s="2"/>
      <c r="C2" s="2"/>
      <c r="D2" s="2"/>
      <c r="E2" s="2"/>
      <c r="F2" s="2"/>
      <c r="G2" s="2"/>
      <c r="H2" s="2"/>
      <c r="I2" s="2"/>
      <c r="J2" s="2"/>
      <c r="K2" s="2"/>
      <c r="L2" s="2"/>
      <c r="M2" s="2"/>
      <c r="N2" s="2"/>
      <c r="O2" s="2"/>
      <c r="P2" s="2"/>
      <c r="Q2" s="2"/>
      <c r="R2" s="2"/>
      <c r="S2" s="2"/>
      <c r="T2" s="2"/>
      <c r="U2" s="2"/>
      <c r="V2" s="2"/>
      <c r="W2" s="2"/>
      <c r="X2" s="2"/>
      <c r="Y2" s="2"/>
      <c r="Z2" s="2"/>
      <c r="AA2" s="2"/>
    </row>
    <row r="4" customFormat="false" ht="15" hidden="false" customHeight="false" outlineLevel="0" collapsed="false">
      <c r="B4" s="5" t="s">
        <v>127</v>
      </c>
      <c r="C4" s="5" t="s">
        <v>128</v>
      </c>
      <c r="D4" s="31" t="s">
        <v>45</v>
      </c>
      <c r="E4" s="31" t="s">
        <v>129</v>
      </c>
      <c r="F4" s="31" t="s">
        <v>130</v>
      </c>
      <c r="G4" s="31" t="s">
        <v>131</v>
      </c>
      <c r="H4" s="31" t="s">
        <v>132</v>
      </c>
      <c r="I4" s="31" t="s">
        <v>133</v>
      </c>
      <c r="J4" s="31" t="s">
        <v>134</v>
      </c>
      <c r="K4" s="31" t="s">
        <v>135</v>
      </c>
      <c r="L4" s="31" t="s">
        <v>136</v>
      </c>
      <c r="M4" s="31" t="s">
        <v>137</v>
      </c>
      <c r="N4" s="31" t="s">
        <v>138</v>
      </c>
      <c r="O4" s="31" t="s">
        <v>139</v>
      </c>
      <c r="P4" s="31" t="s">
        <v>140</v>
      </c>
      <c r="Q4" s="31" t="s">
        <v>141</v>
      </c>
      <c r="R4" s="31" t="s">
        <v>142</v>
      </c>
      <c r="S4" s="31" t="s">
        <v>143</v>
      </c>
      <c r="T4" s="31" t="s">
        <v>144</v>
      </c>
      <c r="U4" s="31" t="s">
        <v>145</v>
      </c>
      <c r="V4" s="31" t="s">
        <v>146</v>
      </c>
      <c r="W4" s="31" t="s">
        <v>147</v>
      </c>
      <c r="X4" s="31" t="s">
        <v>148</v>
      </c>
      <c r="Y4" s="31" t="s">
        <v>149</v>
      </c>
      <c r="Z4" s="31" t="s">
        <v>150</v>
      </c>
      <c r="AA4" s="31" t="s">
        <v>151</v>
      </c>
    </row>
    <row r="5" customFormat="false" ht="15" hidden="false" customHeight="false" outlineLevel="0" collapsed="false">
      <c r="B5" s="13" t="s">
        <v>152</v>
      </c>
      <c r="D5" s="32" t="n">
        <v>1</v>
      </c>
      <c r="E5" s="32" t="n">
        <v>2</v>
      </c>
      <c r="F5" s="32" t="n">
        <v>3</v>
      </c>
      <c r="G5" s="32" t="n">
        <v>4</v>
      </c>
      <c r="H5" s="32" t="n">
        <v>5</v>
      </c>
      <c r="I5" s="32" t="n">
        <v>6</v>
      </c>
      <c r="J5" s="32" t="n">
        <v>7</v>
      </c>
      <c r="K5" s="32" t="n">
        <v>8</v>
      </c>
      <c r="L5" s="32" t="n">
        <v>9</v>
      </c>
      <c r="M5" s="32" t="n">
        <v>10</v>
      </c>
      <c r="N5" s="32" t="n">
        <v>11</v>
      </c>
      <c r="O5" s="32" t="n">
        <v>12</v>
      </c>
      <c r="P5" s="32" t="n">
        <v>13</v>
      </c>
      <c r="Q5" s="32" t="n">
        <v>14</v>
      </c>
      <c r="R5" s="32" t="n">
        <v>15</v>
      </c>
      <c r="S5" s="32" t="n">
        <v>16</v>
      </c>
      <c r="T5" s="32" t="n">
        <v>17</v>
      </c>
      <c r="U5" s="32" t="n">
        <v>18</v>
      </c>
      <c r="V5" s="32" t="n">
        <v>19</v>
      </c>
      <c r="W5" s="32" t="n">
        <v>20</v>
      </c>
      <c r="X5" s="32" t="n">
        <v>21</v>
      </c>
      <c r="Y5" s="32" t="n">
        <v>22</v>
      </c>
      <c r="Z5" s="32" t="n">
        <v>23</v>
      </c>
      <c r="AA5" s="32" t="n">
        <v>24</v>
      </c>
    </row>
    <row r="7" customFormat="false" ht="15" hidden="false" customHeight="false" outlineLevel="0" collapsed="false">
      <c r="B7" s="15" t="s">
        <v>153</v>
      </c>
      <c r="C7" s="33" t="s">
        <v>154</v>
      </c>
      <c r="D7" s="34" t="n">
        <f aca="false">'2 · Assumptions'!$C$17</f>
        <v>100</v>
      </c>
      <c r="E7" s="34" t="n">
        <f aca="false">'2 · Assumptions'!$C$17+('2 · Assumptions'!$D$17-'2 · Assumptions'!$C$17)*0.2</f>
        <v>160</v>
      </c>
      <c r="F7" s="34" t="n">
        <f aca="false">'2 · Assumptions'!$C$17+('2 · Assumptions'!$D$17-'2 · Assumptions'!$C$17)*0.4</f>
        <v>220</v>
      </c>
      <c r="G7" s="34" t="n">
        <f aca="false">'2 · Assumptions'!$C$17+('2 · Assumptions'!$D$17-'2 · Assumptions'!$C$17)*0.6</f>
        <v>280</v>
      </c>
      <c r="H7" s="34" t="n">
        <f aca="false">'2 · Assumptions'!$C$17+('2 · Assumptions'!$D$17-'2 · Assumptions'!$C$17)*0.8</f>
        <v>340</v>
      </c>
      <c r="I7" s="34" t="n">
        <f aca="false">'2 · Assumptions'!$C$17+('2 · Assumptions'!$D$17-'2 · Assumptions'!$C$17)*1</f>
        <v>400</v>
      </c>
      <c r="J7" s="34" t="n">
        <f aca="false">'2 · Assumptions'!$D$17+('2 · Assumptions'!$E$17-'2 · Assumptions'!$D$17)*0.166666666666667</f>
        <v>583.333333333333</v>
      </c>
      <c r="K7" s="34" t="n">
        <f aca="false">'2 · Assumptions'!$D$17+('2 · Assumptions'!$E$17-'2 · Assumptions'!$D$17)*0.333333333333333</f>
        <v>766.666666666667</v>
      </c>
      <c r="L7" s="34" t="n">
        <f aca="false">'2 · Assumptions'!$D$17+('2 · Assumptions'!$E$17-'2 · Assumptions'!$D$17)*0.5</f>
        <v>950</v>
      </c>
      <c r="M7" s="34" t="n">
        <f aca="false">'2 · Assumptions'!$D$17+('2 · Assumptions'!$E$17-'2 · Assumptions'!$D$17)*0.666666666666667</f>
        <v>1133.33333333333</v>
      </c>
      <c r="N7" s="34" t="n">
        <f aca="false">'2 · Assumptions'!$D$17+('2 · Assumptions'!$E$17-'2 · Assumptions'!$D$17)*0.833333333333333</f>
        <v>1316.66666666667</v>
      </c>
      <c r="O7" s="34" t="n">
        <f aca="false">'2 · Assumptions'!$D$17+('2 · Assumptions'!$E$17-'2 · Assumptions'!$D$17)*1</f>
        <v>1500</v>
      </c>
      <c r="P7" s="34" t="n">
        <f aca="false">'2 · Assumptions'!$E$17+('2 · Assumptions'!$F$17-'2 · Assumptions'!$E$17)*0.0833333333333333</f>
        <v>1791.66666666667</v>
      </c>
      <c r="Q7" s="34" t="n">
        <f aca="false">'2 · Assumptions'!$E$17+('2 · Assumptions'!$F$17-'2 · Assumptions'!$E$17)*0.166666666666667</f>
        <v>2083.33333333333</v>
      </c>
      <c r="R7" s="34" t="n">
        <f aca="false">'2 · Assumptions'!$E$17+('2 · Assumptions'!$F$17-'2 · Assumptions'!$E$17)*0.25</f>
        <v>2375</v>
      </c>
      <c r="S7" s="34" t="n">
        <f aca="false">'2 · Assumptions'!$E$17+('2 · Assumptions'!$F$17-'2 · Assumptions'!$E$17)*0.333333333333333</f>
        <v>2666.66666666667</v>
      </c>
      <c r="T7" s="34" t="n">
        <f aca="false">'2 · Assumptions'!$E$17+('2 · Assumptions'!$F$17-'2 · Assumptions'!$E$17)*0.416666666666667</f>
        <v>2958.33333333333</v>
      </c>
      <c r="U7" s="34" t="n">
        <f aca="false">'2 · Assumptions'!$E$17+('2 · Assumptions'!$F$17-'2 · Assumptions'!$E$17)*0.5</f>
        <v>3250</v>
      </c>
      <c r="V7" s="34" t="n">
        <f aca="false">'2 · Assumptions'!$E$17+('2 · Assumptions'!$F$17-'2 · Assumptions'!$E$17)*0.583333333333333</f>
        <v>3541.66666666667</v>
      </c>
      <c r="W7" s="34" t="n">
        <f aca="false">'2 · Assumptions'!$E$17+('2 · Assumptions'!$F$17-'2 · Assumptions'!$E$17)*0.666666666666667</f>
        <v>3833.33333333333</v>
      </c>
      <c r="X7" s="34" t="n">
        <f aca="false">'2 · Assumptions'!$E$17+('2 · Assumptions'!$F$17-'2 · Assumptions'!$E$17)*0.75</f>
        <v>4125</v>
      </c>
      <c r="Y7" s="34" t="n">
        <f aca="false">'2 · Assumptions'!$E$17+('2 · Assumptions'!$F$17-'2 · Assumptions'!$E$17)*0.833333333333333</f>
        <v>4416.66666666667</v>
      </c>
      <c r="Z7" s="34" t="n">
        <f aca="false">'2 · Assumptions'!$E$17+('2 · Assumptions'!$F$17-'2 · Assumptions'!$E$17)*0.916666666666667</f>
        <v>4708.33333333333</v>
      </c>
      <c r="AA7" s="34" t="n">
        <f aca="false">'2 · Assumptions'!$E$17+('2 · Assumptions'!$F$17-'2 · Assumptions'!$E$17)*1</f>
        <v>5000</v>
      </c>
    </row>
    <row r="8" customFormat="false" ht="15" hidden="false" customHeight="false" outlineLevel="0" collapsed="false">
      <c r="B8" s="15" t="s">
        <v>155</v>
      </c>
      <c r="C8" s="33" t="s">
        <v>156</v>
      </c>
      <c r="D8" s="35" t="n">
        <f aca="false">D7*30</f>
        <v>3000</v>
      </c>
      <c r="E8" s="35" t="n">
        <f aca="false">E7*30</f>
        <v>4800</v>
      </c>
      <c r="F8" s="35" t="n">
        <f aca="false">F7*30</f>
        <v>6600</v>
      </c>
      <c r="G8" s="35" t="n">
        <f aca="false">G7*30</f>
        <v>8400</v>
      </c>
      <c r="H8" s="35" t="n">
        <f aca="false">H7*30</f>
        <v>10200</v>
      </c>
      <c r="I8" s="35" t="n">
        <f aca="false">I7*30</f>
        <v>12000</v>
      </c>
      <c r="J8" s="35" t="n">
        <f aca="false">J7*30</f>
        <v>17500</v>
      </c>
      <c r="K8" s="35" t="n">
        <f aca="false">K7*30</f>
        <v>23000</v>
      </c>
      <c r="L8" s="35" t="n">
        <f aca="false">L7*30</f>
        <v>28500</v>
      </c>
      <c r="M8" s="35" t="n">
        <f aca="false">M7*30</f>
        <v>34000</v>
      </c>
      <c r="N8" s="35" t="n">
        <f aca="false">N7*30</f>
        <v>39500</v>
      </c>
      <c r="O8" s="35" t="n">
        <f aca="false">O7*30</f>
        <v>45000</v>
      </c>
      <c r="P8" s="35" t="n">
        <f aca="false">P7*30</f>
        <v>53750</v>
      </c>
      <c r="Q8" s="35" t="n">
        <f aca="false">Q7*30</f>
        <v>62500</v>
      </c>
      <c r="R8" s="35" t="n">
        <f aca="false">R7*30</f>
        <v>71250</v>
      </c>
      <c r="S8" s="35" t="n">
        <f aca="false">S7*30</f>
        <v>80000</v>
      </c>
      <c r="T8" s="35" t="n">
        <f aca="false">T7*30</f>
        <v>88750</v>
      </c>
      <c r="U8" s="35" t="n">
        <f aca="false">U7*30</f>
        <v>97500</v>
      </c>
      <c r="V8" s="35" t="n">
        <f aca="false">V7*30</f>
        <v>106250</v>
      </c>
      <c r="W8" s="35" t="n">
        <f aca="false">W7*30</f>
        <v>115000</v>
      </c>
      <c r="X8" s="35" t="n">
        <f aca="false">X7*30</f>
        <v>123750</v>
      </c>
      <c r="Y8" s="35" t="n">
        <f aca="false">Y7*30</f>
        <v>132500</v>
      </c>
      <c r="Z8" s="35" t="n">
        <f aca="false">Z7*30</f>
        <v>141250</v>
      </c>
      <c r="AA8" s="35" t="n">
        <f aca="false">AA7*30</f>
        <v>150000</v>
      </c>
    </row>
    <row r="9" customFormat="false" ht="15" hidden="false" customHeight="false" outlineLevel="0" collapsed="false">
      <c r="B9" s="15" t="s">
        <v>157</v>
      </c>
      <c r="C9" s="33" t="s">
        <v>158</v>
      </c>
      <c r="D9" s="36" t="n">
        <f aca="false">'2 · Assumptions'!$C$18</f>
        <v>0.04</v>
      </c>
      <c r="E9" s="36" t="n">
        <f aca="false">'2 · Assumptions'!$C$18+('2 · Assumptions'!$D$18-'2 · Assumptions'!$C$18)*0.2</f>
        <v>0.044</v>
      </c>
      <c r="F9" s="36" t="n">
        <f aca="false">'2 · Assumptions'!$C$18+('2 · Assumptions'!$D$18-'2 · Assumptions'!$C$18)*0.4</f>
        <v>0.048</v>
      </c>
      <c r="G9" s="36" t="n">
        <f aca="false">'2 · Assumptions'!$C$18+('2 · Assumptions'!$D$18-'2 · Assumptions'!$C$18)*0.6</f>
        <v>0.052</v>
      </c>
      <c r="H9" s="36" t="n">
        <f aca="false">'2 · Assumptions'!$C$18+('2 · Assumptions'!$D$18-'2 · Assumptions'!$C$18)*0.8</f>
        <v>0.056</v>
      </c>
      <c r="I9" s="36" t="n">
        <f aca="false">'2 · Assumptions'!$C$18+('2 · Assumptions'!$D$18-'2 · Assumptions'!$C$18)*1</f>
        <v>0.06</v>
      </c>
      <c r="J9" s="36" t="n">
        <f aca="false">'2 · Assumptions'!$D$18+('2 · Assumptions'!$E$18-'2 · Assumptions'!$D$18)*0.166666666666667</f>
        <v>0.065</v>
      </c>
      <c r="K9" s="36" t="n">
        <f aca="false">'2 · Assumptions'!$D$18+('2 · Assumptions'!$E$18-'2 · Assumptions'!$D$18)*0.333333333333333</f>
        <v>0.07</v>
      </c>
      <c r="L9" s="36" t="n">
        <f aca="false">'2 · Assumptions'!$D$18+('2 · Assumptions'!$E$18-'2 · Assumptions'!$D$18)*0.5</f>
        <v>0.075</v>
      </c>
      <c r="M9" s="36" t="n">
        <f aca="false">'2 · Assumptions'!$D$18+('2 · Assumptions'!$E$18-'2 · Assumptions'!$D$18)*0.666666666666667</f>
        <v>0.08</v>
      </c>
      <c r="N9" s="36" t="n">
        <f aca="false">'2 · Assumptions'!$D$18+('2 · Assumptions'!$E$18-'2 · Assumptions'!$D$18)*0.833333333333333</f>
        <v>0.085</v>
      </c>
      <c r="O9" s="36" t="n">
        <f aca="false">'2 · Assumptions'!$D$18+('2 · Assumptions'!$E$18-'2 · Assumptions'!$D$18)*1</f>
        <v>0.09</v>
      </c>
      <c r="P9" s="36" t="n">
        <f aca="false">'2 · Assumptions'!$E$18+('2 · Assumptions'!$F$18-'2 · Assumptions'!$E$18)*0.0833333333333333</f>
        <v>0.095</v>
      </c>
      <c r="Q9" s="36" t="n">
        <f aca="false">'2 · Assumptions'!$E$18+('2 · Assumptions'!$F$18-'2 · Assumptions'!$E$18)*0.166666666666667</f>
        <v>0.1</v>
      </c>
      <c r="R9" s="36" t="n">
        <f aca="false">'2 · Assumptions'!$E$18+('2 · Assumptions'!$F$18-'2 · Assumptions'!$E$18)*0.25</f>
        <v>0.105</v>
      </c>
      <c r="S9" s="36" t="n">
        <f aca="false">'2 · Assumptions'!$E$18+('2 · Assumptions'!$F$18-'2 · Assumptions'!$E$18)*0.333333333333333</f>
        <v>0.11</v>
      </c>
      <c r="T9" s="36" t="n">
        <f aca="false">'2 · Assumptions'!$E$18+('2 · Assumptions'!$F$18-'2 · Assumptions'!$E$18)*0.416666666666667</f>
        <v>0.115</v>
      </c>
      <c r="U9" s="36" t="n">
        <f aca="false">'2 · Assumptions'!$E$18+('2 · Assumptions'!$F$18-'2 · Assumptions'!$E$18)*0.5</f>
        <v>0.12</v>
      </c>
      <c r="V9" s="36" t="n">
        <f aca="false">'2 · Assumptions'!$E$18+('2 · Assumptions'!$F$18-'2 · Assumptions'!$E$18)*0.583333333333333</f>
        <v>0.125</v>
      </c>
      <c r="W9" s="36" t="n">
        <f aca="false">'2 · Assumptions'!$E$18+('2 · Assumptions'!$F$18-'2 · Assumptions'!$E$18)*0.666666666666667</f>
        <v>0.13</v>
      </c>
      <c r="X9" s="36" t="n">
        <f aca="false">'2 · Assumptions'!$E$18+('2 · Assumptions'!$F$18-'2 · Assumptions'!$E$18)*0.75</f>
        <v>0.135</v>
      </c>
      <c r="Y9" s="36" t="n">
        <f aca="false">'2 · Assumptions'!$E$18+('2 · Assumptions'!$F$18-'2 · Assumptions'!$E$18)*0.833333333333333</f>
        <v>0.14</v>
      </c>
      <c r="Z9" s="36" t="n">
        <f aca="false">'2 · Assumptions'!$E$18+('2 · Assumptions'!$F$18-'2 · Assumptions'!$E$18)*0.916666666666667</f>
        <v>0.145</v>
      </c>
      <c r="AA9" s="36" t="n">
        <f aca="false">'2 · Assumptions'!$E$18+('2 · Assumptions'!$F$18-'2 · Assumptions'!$E$18)*1</f>
        <v>0.15</v>
      </c>
    </row>
    <row r="10" customFormat="false" ht="15" hidden="false" customHeight="false" outlineLevel="0" collapsed="false">
      <c r="B10" s="15" t="s">
        <v>159</v>
      </c>
      <c r="C10" s="33" t="s">
        <v>156</v>
      </c>
      <c r="D10" s="35" t="n">
        <f aca="false">D8*D9</f>
        <v>120</v>
      </c>
      <c r="E10" s="35" t="n">
        <f aca="false">E8*E9</f>
        <v>211.2</v>
      </c>
      <c r="F10" s="35" t="n">
        <f aca="false">F8*F9</f>
        <v>316.8</v>
      </c>
      <c r="G10" s="35" t="n">
        <f aca="false">G8*G9</f>
        <v>436.8</v>
      </c>
      <c r="H10" s="35" t="n">
        <f aca="false">H8*H9</f>
        <v>571.2</v>
      </c>
      <c r="I10" s="35" t="n">
        <f aca="false">I8*I9</f>
        <v>720</v>
      </c>
      <c r="J10" s="35" t="n">
        <f aca="false">J8*J9</f>
        <v>1137.5</v>
      </c>
      <c r="K10" s="35" t="n">
        <f aca="false">K8*K9</f>
        <v>1610</v>
      </c>
      <c r="L10" s="35" t="n">
        <f aca="false">L8*L9</f>
        <v>2137.5</v>
      </c>
      <c r="M10" s="35" t="n">
        <f aca="false">M8*M9</f>
        <v>2720</v>
      </c>
      <c r="N10" s="35" t="n">
        <f aca="false">N8*N9</f>
        <v>3357.5</v>
      </c>
      <c r="O10" s="35" t="n">
        <f aca="false">O8*O9</f>
        <v>4050</v>
      </c>
      <c r="P10" s="35" t="n">
        <f aca="false">P8*P9</f>
        <v>5106.25</v>
      </c>
      <c r="Q10" s="35" t="n">
        <f aca="false">Q8*Q9</f>
        <v>6250</v>
      </c>
      <c r="R10" s="35" t="n">
        <f aca="false">R8*R9</f>
        <v>7481.25</v>
      </c>
      <c r="S10" s="35" t="n">
        <f aca="false">S8*S9</f>
        <v>8800</v>
      </c>
      <c r="T10" s="35" t="n">
        <f aca="false">T8*T9</f>
        <v>10206.25</v>
      </c>
      <c r="U10" s="35" t="n">
        <f aca="false">U8*U9</f>
        <v>11700</v>
      </c>
      <c r="V10" s="35" t="n">
        <f aca="false">V8*V9</f>
        <v>13281.25</v>
      </c>
      <c r="W10" s="35" t="n">
        <f aca="false">W8*W9</f>
        <v>14950</v>
      </c>
      <c r="X10" s="35" t="n">
        <f aca="false">X8*X9</f>
        <v>16706.25</v>
      </c>
      <c r="Y10" s="35" t="n">
        <f aca="false">Y8*Y9</f>
        <v>18550</v>
      </c>
      <c r="Z10" s="35" t="n">
        <f aca="false">Z8*Z9</f>
        <v>20481.25</v>
      </c>
      <c r="AA10" s="35" t="n">
        <f aca="false">AA8*AA9</f>
        <v>22500</v>
      </c>
    </row>
    <row r="11" customFormat="false" ht="15" hidden="false" customHeight="false" outlineLevel="0" collapsed="false">
      <c r="B11" s="15" t="s">
        <v>160</v>
      </c>
      <c r="C11" s="33" t="s">
        <v>161</v>
      </c>
      <c r="D11" s="37" t="n">
        <f aca="false">'2 · Assumptions'!$C$19</f>
        <v>85</v>
      </c>
      <c r="E11" s="37" t="n">
        <f aca="false">'2 · Assumptions'!$C$19+('2 · Assumptions'!$D$19-'2 · Assumptions'!$C$19)*0.2</f>
        <v>86</v>
      </c>
      <c r="F11" s="37" t="n">
        <f aca="false">'2 · Assumptions'!$C$19+('2 · Assumptions'!$D$19-'2 · Assumptions'!$C$19)*0.4</f>
        <v>87</v>
      </c>
      <c r="G11" s="37" t="n">
        <f aca="false">'2 · Assumptions'!$C$19+('2 · Assumptions'!$D$19-'2 · Assumptions'!$C$19)*0.6</f>
        <v>88</v>
      </c>
      <c r="H11" s="37" t="n">
        <f aca="false">'2 · Assumptions'!$C$19+('2 · Assumptions'!$D$19-'2 · Assumptions'!$C$19)*0.8</f>
        <v>89</v>
      </c>
      <c r="I11" s="37" t="n">
        <f aca="false">'2 · Assumptions'!$C$19+('2 · Assumptions'!$D$19-'2 · Assumptions'!$C$19)*1</f>
        <v>90</v>
      </c>
      <c r="J11" s="37" t="n">
        <f aca="false">'2 · Assumptions'!$D$19+('2 · Assumptions'!$E$19-'2 · Assumptions'!$D$19)*0.166666666666667</f>
        <v>90.8333333333333</v>
      </c>
      <c r="K11" s="37" t="n">
        <f aca="false">'2 · Assumptions'!$D$19+('2 · Assumptions'!$E$19-'2 · Assumptions'!$D$19)*0.333333333333333</f>
        <v>91.6666666666667</v>
      </c>
      <c r="L11" s="37" t="n">
        <f aca="false">'2 · Assumptions'!$D$19+('2 · Assumptions'!$E$19-'2 · Assumptions'!$D$19)*0.5</f>
        <v>92.5</v>
      </c>
      <c r="M11" s="37" t="n">
        <f aca="false">'2 · Assumptions'!$D$19+('2 · Assumptions'!$E$19-'2 · Assumptions'!$D$19)*0.666666666666667</f>
        <v>93.3333333333333</v>
      </c>
      <c r="N11" s="37" t="n">
        <f aca="false">'2 · Assumptions'!$D$19+('2 · Assumptions'!$E$19-'2 · Assumptions'!$D$19)*0.833333333333333</f>
        <v>94.1666666666667</v>
      </c>
      <c r="O11" s="37" t="n">
        <f aca="false">'2 · Assumptions'!$D$19+('2 · Assumptions'!$E$19-'2 · Assumptions'!$D$19)*1</f>
        <v>95</v>
      </c>
      <c r="P11" s="37" t="n">
        <f aca="false">'2 · Assumptions'!$E$19+('2 · Assumptions'!$F$19-'2 · Assumptions'!$E$19)*0.0833333333333333</f>
        <v>96.25</v>
      </c>
      <c r="Q11" s="37" t="n">
        <f aca="false">'2 · Assumptions'!$E$19+('2 · Assumptions'!$F$19-'2 · Assumptions'!$E$19)*0.166666666666667</f>
        <v>97.5</v>
      </c>
      <c r="R11" s="37" t="n">
        <f aca="false">'2 · Assumptions'!$E$19+('2 · Assumptions'!$F$19-'2 · Assumptions'!$E$19)*0.25</f>
        <v>98.75</v>
      </c>
      <c r="S11" s="37" t="n">
        <f aca="false">'2 · Assumptions'!$E$19+('2 · Assumptions'!$F$19-'2 · Assumptions'!$E$19)*0.333333333333333</f>
        <v>100</v>
      </c>
      <c r="T11" s="37" t="n">
        <f aca="false">'2 · Assumptions'!$E$19+('2 · Assumptions'!$F$19-'2 · Assumptions'!$E$19)*0.416666666666667</f>
        <v>101.25</v>
      </c>
      <c r="U11" s="37" t="n">
        <f aca="false">'2 · Assumptions'!$E$19+('2 · Assumptions'!$F$19-'2 · Assumptions'!$E$19)*0.5</f>
        <v>102.5</v>
      </c>
      <c r="V11" s="37" t="n">
        <f aca="false">'2 · Assumptions'!$E$19+('2 · Assumptions'!$F$19-'2 · Assumptions'!$E$19)*0.583333333333333</f>
        <v>103.75</v>
      </c>
      <c r="W11" s="37" t="n">
        <f aca="false">'2 · Assumptions'!$E$19+('2 · Assumptions'!$F$19-'2 · Assumptions'!$E$19)*0.666666666666667</f>
        <v>105</v>
      </c>
      <c r="X11" s="37" t="n">
        <f aca="false">'2 · Assumptions'!$E$19+('2 · Assumptions'!$F$19-'2 · Assumptions'!$E$19)*0.75</f>
        <v>106.25</v>
      </c>
      <c r="Y11" s="37" t="n">
        <f aca="false">'2 · Assumptions'!$E$19+('2 · Assumptions'!$F$19-'2 · Assumptions'!$E$19)*0.833333333333333</f>
        <v>107.5</v>
      </c>
      <c r="Z11" s="37" t="n">
        <f aca="false">'2 · Assumptions'!$E$19+('2 · Assumptions'!$F$19-'2 · Assumptions'!$E$19)*0.916666666666667</f>
        <v>108.75</v>
      </c>
      <c r="AA11" s="37" t="n">
        <f aca="false">'2 · Assumptions'!$E$19+('2 · Assumptions'!$F$19-'2 · Assumptions'!$E$19)*1</f>
        <v>110</v>
      </c>
    </row>
    <row r="12" customFormat="false" ht="15" hidden="false" customHeight="false" outlineLevel="0" collapsed="false">
      <c r="B12" s="38" t="s">
        <v>162</v>
      </c>
      <c r="C12" s="33" t="s">
        <v>163</v>
      </c>
      <c r="D12" s="39" t="n">
        <f aca="false">D10*D11</f>
        <v>10200</v>
      </c>
      <c r="E12" s="39" t="n">
        <f aca="false">E10*E11</f>
        <v>18163.2</v>
      </c>
      <c r="F12" s="39" t="n">
        <f aca="false">F10*F11</f>
        <v>27561.6</v>
      </c>
      <c r="G12" s="39" t="n">
        <f aca="false">G10*G11</f>
        <v>38438.4</v>
      </c>
      <c r="H12" s="39" t="n">
        <f aca="false">H10*H11</f>
        <v>50836.8</v>
      </c>
      <c r="I12" s="39" t="n">
        <f aca="false">I10*I11</f>
        <v>64800</v>
      </c>
      <c r="J12" s="39" t="n">
        <f aca="false">J10*J11</f>
        <v>103322.916666667</v>
      </c>
      <c r="K12" s="39" t="n">
        <f aca="false">K10*K11</f>
        <v>147583.333333333</v>
      </c>
      <c r="L12" s="39" t="n">
        <f aca="false">L10*L11</f>
        <v>197718.75</v>
      </c>
      <c r="M12" s="39" t="n">
        <f aca="false">M10*M11</f>
        <v>253866.666666667</v>
      </c>
      <c r="N12" s="39" t="n">
        <f aca="false">N10*N11</f>
        <v>316164.583333333</v>
      </c>
      <c r="O12" s="39" t="n">
        <f aca="false">O10*O11</f>
        <v>384750</v>
      </c>
      <c r="P12" s="39" t="n">
        <f aca="false">P10*P11</f>
        <v>491476.5625</v>
      </c>
      <c r="Q12" s="39" t="n">
        <f aca="false">Q10*Q11</f>
        <v>609375</v>
      </c>
      <c r="R12" s="39" t="n">
        <f aca="false">R10*R11</f>
        <v>738773.4375</v>
      </c>
      <c r="S12" s="39" t="n">
        <f aca="false">S10*S11</f>
        <v>880000</v>
      </c>
      <c r="T12" s="39" t="n">
        <f aca="false">T10*T11</f>
        <v>1033382.8125</v>
      </c>
      <c r="U12" s="39" t="n">
        <f aca="false">U10*U11</f>
        <v>1199250</v>
      </c>
      <c r="V12" s="39" t="n">
        <f aca="false">V10*V11</f>
        <v>1377929.6875</v>
      </c>
      <c r="W12" s="39" t="n">
        <f aca="false">W10*W11</f>
        <v>1569750</v>
      </c>
      <c r="X12" s="39" t="n">
        <f aca="false">X10*X11</f>
        <v>1775039.0625</v>
      </c>
      <c r="Y12" s="39" t="n">
        <f aca="false">Y10*Y11</f>
        <v>1994125</v>
      </c>
      <c r="Z12" s="39" t="n">
        <f aca="false">Z10*Z11</f>
        <v>2227335.9375</v>
      </c>
      <c r="AA12" s="39" t="n">
        <f aca="false">AA10*AA11</f>
        <v>2475000</v>
      </c>
    </row>
    <row r="13" customFormat="false" ht="15" hidden="false" customHeight="false" outlineLevel="0" collapsed="false">
      <c r="B13" s="15" t="s">
        <v>164</v>
      </c>
      <c r="C13" s="33" t="s">
        <v>158</v>
      </c>
      <c r="D13" s="36" t="n">
        <f aca="false">'2 · Assumptions'!$C$20</f>
        <v>0.1</v>
      </c>
      <c r="E13" s="36" t="n">
        <f aca="false">'2 · Assumptions'!$C$20</f>
        <v>0.1</v>
      </c>
      <c r="F13" s="36" t="n">
        <f aca="false">'2 · Assumptions'!$C$20</f>
        <v>0.1</v>
      </c>
      <c r="G13" s="36" t="n">
        <f aca="false">'2 · Assumptions'!$C$20</f>
        <v>0.1</v>
      </c>
      <c r="H13" s="36" t="n">
        <f aca="false">'2 · Assumptions'!$C$20</f>
        <v>0.1</v>
      </c>
      <c r="I13" s="36" t="n">
        <f aca="false">'2 · Assumptions'!$C$20</f>
        <v>0.1</v>
      </c>
      <c r="J13" s="36" t="n">
        <f aca="false">'2 · Assumptions'!$E$20</f>
        <v>0.12</v>
      </c>
      <c r="K13" s="36" t="n">
        <f aca="false">'2 · Assumptions'!$E$20</f>
        <v>0.12</v>
      </c>
      <c r="L13" s="36" t="n">
        <f aca="false">'2 · Assumptions'!$E$20</f>
        <v>0.12</v>
      </c>
      <c r="M13" s="36" t="n">
        <f aca="false">'2 · Assumptions'!$E$20</f>
        <v>0.12</v>
      </c>
      <c r="N13" s="36" t="n">
        <f aca="false">'2 · Assumptions'!$E$20</f>
        <v>0.12</v>
      </c>
      <c r="O13" s="36" t="n">
        <f aca="false">'2 · Assumptions'!$E$20</f>
        <v>0.12</v>
      </c>
      <c r="P13" s="36" t="n">
        <f aca="false">'2 · Assumptions'!$E$20</f>
        <v>0.12</v>
      </c>
      <c r="Q13" s="36" t="n">
        <f aca="false">'2 · Assumptions'!$E$20</f>
        <v>0.12</v>
      </c>
      <c r="R13" s="36" t="n">
        <f aca="false">'2 · Assumptions'!$E$20</f>
        <v>0.12</v>
      </c>
      <c r="S13" s="36" t="n">
        <f aca="false">'2 · Assumptions'!$E$20</f>
        <v>0.12</v>
      </c>
      <c r="T13" s="36" t="n">
        <f aca="false">'2 · Assumptions'!$E$20</f>
        <v>0.12</v>
      </c>
      <c r="U13" s="36" t="n">
        <f aca="false">'2 · Assumptions'!$E$20</f>
        <v>0.12</v>
      </c>
      <c r="V13" s="36" t="n">
        <f aca="false">'2 · Assumptions'!$E$20</f>
        <v>0.12</v>
      </c>
      <c r="W13" s="36" t="n">
        <f aca="false">'2 · Assumptions'!$E$20</f>
        <v>0.12</v>
      </c>
      <c r="X13" s="36" t="n">
        <f aca="false">'2 · Assumptions'!$E$20</f>
        <v>0.12</v>
      </c>
      <c r="Y13" s="36" t="n">
        <f aca="false">'2 · Assumptions'!$E$20</f>
        <v>0.12</v>
      </c>
      <c r="Z13" s="36" t="n">
        <f aca="false">'2 · Assumptions'!$E$20</f>
        <v>0.12</v>
      </c>
      <c r="AA13" s="36" t="n">
        <f aca="false">'2 · Assumptions'!$E$20</f>
        <v>0.12</v>
      </c>
    </row>
    <row r="14" customFormat="false" ht="15" hidden="false" customHeight="false" outlineLevel="0" collapsed="false">
      <c r="B14" s="38" t="s">
        <v>165</v>
      </c>
      <c r="C14" s="33" t="s">
        <v>163</v>
      </c>
      <c r="D14" s="40" t="n">
        <f aca="false">D12*D13</f>
        <v>1020</v>
      </c>
      <c r="E14" s="40" t="n">
        <f aca="false">E12*E13</f>
        <v>1816.32</v>
      </c>
      <c r="F14" s="40" t="n">
        <f aca="false">F12*F13</f>
        <v>2756.16</v>
      </c>
      <c r="G14" s="40" t="n">
        <f aca="false">G12*G13</f>
        <v>3843.84</v>
      </c>
      <c r="H14" s="40" t="n">
        <f aca="false">H12*H13</f>
        <v>5083.68</v>
      </c>
      <c r="I14" s="40" t="n">
        <f aca="false">I12*I13</f>
        <v>6480</v>
      </c>
      <c r="J14" s="40" t="n">
        <f aca="false">J12*J13</f>
        <v>12398.75</v>
      </c>
      <c r="K14" s="40" t="n">
        <f aca="false">K12*K13</f>
        <v>17710</v>
      </c>
      <c r="L14" s="40" t="n">
        <f aca="false">L12*L13</f>
        <v>23726.25</v>
      </c>
      <c r="M14" s="40" t="n">
        <f aca="false">M12*M13</f>
        <v>30464</v>
      </c>
      <c r="N14" s="40" t="n">
        <f aca="false">N12*N13</f>
        <v>37939.75</v>
      </c>
      <c r="O14" s="40" t="n">
        <f aca="false">O12*O13</f>
        <v>46170</v>
      </c>
      <c r="P14" s="40" t="n">
        <f aca="false">P12*P13</f>
        <v>58977.1875</v>
      </c>
      <c r="Q14" s="40" t="n">
        <f aca="false">Q12*Q13</f>
        <v>73125</v>
      </c>
      <c r="R14" s="40" t="n">
        <f aca="false">R12*R13</f>
        <v>88652.8125</v>
      </c>
      <c r="S14" s="40" t="n">
        <f aca="false">S12*S13</f>
        <v>105600</v>
      </c>
      <c r="T14" s="40" t="n">
        <f aca="false">T12*T13</f>
        <v>124005.9375</v>
      </c>
      <c r="U14" s="40" t="n">
        <f aca="false">U12*U13</f>
        <v>143910</v>
      </c>
      <c r="V14" s="40" t="n">
        <f aca="false">V12*V13</f>
        <v>165351.5625</v>
      </c>
      <c r="W14" s="40" t="n">
        <f aca="false">W12*W13</f>
        <v>188370</v>
      </c>
      <c r="X14" s="40" t="n">
        <f aca="false">X12*X13</f>
        <v>213004.6875</v>
      </c>
      <c r="Y14" s="40" t="n">
        <f aca="false">Y12*Y13</f>
        <v>239295</v>
      </c>
      <c r="Z14" s="40" t="n">
        <f aca="false">Z12*Z13</f>
        <v>267280.3125</v>
      </c>
      <c r="AA14" s="40" t="n">
        <f aca="false">AA12*AA13</f>
        <v>297000</v>
      </c>
    </row>
    <row r="16" customFormat="false" ht="15" hidden="false" customHeight="false" outlineLevel="0" collapsed="false">
      <c r="B16" s="3" t="s">
        <v>166</v>
      </c>
    </row>
    <row r="17" customFormat="false" ht="15" hidden="false" customHeight="false" outlineLevel="0" collapsed="false">
      <c r="B17" s="15" t="s">
        <v>167</v>
      </c>
      <c r="D17" s="41" t="n">
        <f aca="false">SUM(D14:O14)</f>
        <v>189408.75</v>
      </c>
    </row>
    <row r="18" customFormat="false" ht="15" hidden="false" customHeight="false" outlineLevel="0" collapsed="false">
      <c r="B18" s="15" t="s">
        <v>168</v>
      </c>
      <c r="D18" s="41" t="n">
        <f aca="false">SUM(P14:AA14)</f>
        <v>1964572.5</v>
      </c>
    </row>
    <row r="19" customFormat="false" ht="15" hidden="false" customHeight="false" outlineLevel="0" collapsed="false">
      <c r="B19" s="15" t="s">
        <v>169</v>
      </c>
      <c r="D19" s="41" t="n">
        <f aca="false">SUM(D12:AA12)</f>
        <v>17984843.75</v>
      </c>
    </row>
    <row r="20" customFormat="false" ht="15" hidden="false" customHeight="false" outlineLevel="0" collapsed="false">
      <c r="B20" s="15" t="s">
        <v>170</v>
      </c>
      <c r="D20" s="41" t="n">
        <f aca="false">AA14*12</f>
        <v>3564000</v>
      </c>
    </row>
  </sheetData>
  <mergeCells count="2">
    <mergeCell ref="A1:AA1"/>
    <mergeCell ref="A2:AA2"/>
  </mergeCells>
  <printOptions headings="false" gridLines="false" gridLinesSet="true" horizontalCentered="false" verticalCentered="false"/>
  <pageMargins left="0.4" right="0.4" top="0.4" bottom="0.4" header="0.511811023622047" footer="0.511811023622047"/>
  <pageSetup paperSize="1" scale="100" fitToWidth="1" fitToHeight="0" pageOrder="downThenOver" orientation="landscape"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F21"/>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1" ySplit="4" topLeftCell="B5" activePane="bottomRight" state="frozen"/>
      <selection pane="topLeft" activeCell="A1" activeCellId="0" sqref="A1"/>
      <selection pane="topRight" activeCell="B1" activeCellId="0" sqref="B1"/>
      <selection pane="bottomLeft" activeCell="A5" activeCellId="0" sqref="A5"/>
      <selection pane="bottomRight" activeCell="A1" activeCellId="0" sqref="A1"/>
    </sheetView>
  </sheetViews>
  <sheetFormatPr defaultColWidth="8.6796875" defaultRowHeight="15" customHeight="false" zeroHeight="false" outlineLevelRow="0" outlineLevelCol="0"/>
  <cols>
    <col collapsed="false" customWidth="true" hidden="false" outlineLevel="0" max="1" min="1" style="0" width="2"/>
    <col collapsed="false" customWidth="true" hidden="false" outlineLevel="0" max="2" min="2" style="0" width="36"/>
    <col collapsed="false" customWidth="true" hidden="false" outlineLevel="0" max="5" min="3" style="0" width="14"/>
    <col collapsed="false" customWidth="true" hidden="false" outlineLevel="0" max="6" min="6" style="0" width="40"/>
  </cols>
  <sheetData>
    <row r="1" customFormat="false" ht="31.5" hidden="false" customHeight="true" outlineLevel="0" collapsed="false">
      <c r="A1" s="1" t="s">
        <v>171</v>
      </c>
      <c r="B1" s="1"/>
      <c r="C1" s="1"/>
      <c r="D1" s="1"/>
      <c r="E1" s="1"/>
      <c r="F1" s="1"/>
    </row>
    <row r="2" customFormat="false" ht="19.5" hidden="false" customHeight="true" outlineLevel="0" collapsed="false">
      <c r="A2" s="2" t="s">
        <v>12</v>
      </c>
      <c r="B2" s="2"/>
      <c r="C2" s="2"/>
      <c r="D2" s="2"/>
      <c r="E2" s="2"/>
      <c r="F2" s="2"/>
    </row>
    <row r="4" customFormat="false" ht="15" hidden="false" customHeight="false" outlineLevel="0" collapsed="false">
      <c r="B4" s="20" t="s">
        <v>127</v>
      </c>
      <c r="C4" s="20" t="s">
        <v>61</v>
      </c>
      <c r="D4" s="20" t="s">
        <v>62</v>
      </c>
      <c r="E4" s="20" t="s">
        <v>63</v>
      </c>
      <c r="F4" s="20" t="s">
        <v>172</v>
      </c>
    </row>
    <row r="5" customFormat="false" ht="19.5" hidden="false" customHeight="true" outlineLevel="0" collapsed="false">
      <c r="B5" s="14" t="s">
        <v>173</v>
      </c>
      <c r="C5" s="14"/>
      <c r="D5" s="14"/>
      <c r="E5" s="14"/>
      <c r="F5" s="14"/>
    </row>
    <row r="6" customFormat="false" ht="15" hidden="false" customHeight="false" outlineLevel="0" collapsed="false">
      <c r="B6" s="15" t="s">
        <v>174</v>
      </c>
      <c r="C6" s="42" t="n">
        <f aca="false">'3 · Revenue Build'!I14/'3 · Revenue Build'!I7</f>
        <v>16.2</v>
      </c>
      <c r="D6" s="42" t="n">
        <f aca="false">'3 · Revenue Build'!O14/'3 · Revenue Build'!O7</f>
        <v>30.78</v>
      </c>
      <c r="E6" s="42" t="n">
        <f aca="false">'3 · Revenue Build'!AA14/'3 · Revenue Build'!AA7</f>
        <v>59.4</v>
      </c>
      <c r="F6" s="13" t="s">
        <v>175</v>
      </c>
    </row>
    <row r="7" customFormat="false" ht="15" hidden="false" customHeight="false" outlineLevel="0" collapsed="false">
      <c r="B7" s="15" t="s">
        <v>176</v>
      </c>
      <c r="C7" s="43" t="n">
        <f aca="false">C6*'2 · Assumptions'!$C$25</f>
        <v>291.6</v>
      </c>
      <c r="D7" s="43" t="n">
        <f aca="false">D6*'2 · Assumptions'!$C$25</f>
        <v>554.04</v>
      </c>
      <c r="E7" s="43" t="n">
        <f aca="false">E6*'2 · Assumptions'!$C$25</f>
        <v>1069.2</v>
      </c>
      <c r="F7" s="13" t="s">
        <v>177</v>
      </c>
    </row>
    <row r="8" customFormat="false" ht="15" hidden="false" customHeight="false" outlineLevel="0" collapsed="false">
      <c r="B8" s="15" t="s">
        <v>178</v>
      </c>
      <c r="C8" s="42" t="n">
        <f aca="false">'2 · Assumptions'!$C$23</f>
        <v>25</v>
      </c>
      <c r="D8" s="42" t="n">
        <f aca="false">'2 · Assumptions'!$C$23</f>
        <v>25</v>
      </c>
      <c r="E8" s="42" t="n">
        <f aca="false">'2 · Assumptions'!$C$23</f>
        <v>25</v>
      </c>
      <c r="F8" s="13" t="s">
        <v>179</v>
      </c>
    </row>
    <row r="9" customFormat="false" ht="15" hidden="false" customHeight="false" outlineLevel="0" collapsed="false">
      <c r="B9" s="38" t="s">
        <v>180</v>
      </c>
      <c r="C9" s="44" t="n">
        <f aca="false">C7/C8</f>
        <v>11.664</v>
      </c>
      <c r="D9" s="44" t="n">
        <f aca="false">D7/D8</f>
        <v>22.1616</v>
      </c>
      <c r="E9" s="44" t="n">
        <f aca="false">E7/E8</f>
        <v>42.768</v>
      </c>
      <c r="F9" s="13" t="s">
        <v>181</v>
      </c>
    </row>
    <row r="10" customFormat="false" ht="15" hidden="false" customHeight="false" outlineLevel="0" collapsed="false">
      <c r="B10" s="15" t="s">
        <v>182</v>
      </c>
      <c r="C10" s="45" t="n">
        <f aca="false">C8/C6</f>
        <v>1.54320987654321</v>
      </c>
      <c r="D10" s="45" t="n">
        <f aca="false">D8/D6</f>
        <v>0.812215724496426</v>
      </c>
      <c r="E10" s="45" t="n">
        <f aca="false">E8/E6</f>
        <v>0.420875420875421</v>
      </c>
      <c r="F10" s="13" t="s">
        <v>183</v>
      </c>
    </row>
    <row r="12" customFormat="false" ht="19.5" hidden="false" customHeight="true" outlineLevel="0" collapsed="false">
      <c r="B12" s="14" t="s">
        <v>184</v>
      </c>
      <c r="C12" s="14"/>
      <c r="D12" s="14"/>
      <c r="E12" s="14"/>
      <c r="F12" s="14"/>
    </row>
    <row r="13" customFormat="false" ht="15" hidden="false" customHeight="false" outlineLevel="0" collapsed="false">
      <c r="B13" s="15" t="s">
        <v>185</v>
      </c>
      <c r="C13" s="42" t="n">
        <f aca="false">'3 · Revenue Build'!I14/'3 · Revenue Build'!I10*3</f>
        <v>27</v>
      </c>
      <c r="D13" s="42" t="n">
        <f aca="false">'3 · Revenue Build'!O14/'3 · Revenue Build'!O10*3</f>
        <v>34.2</v>
      </c>
      <c r="E13" s="42" t="n">
        <f aca="false">'3 · Revenue Build'!AA14/'3 · Revenue Build'!AA10*3</f>
        <v>39.6</v>
      </c>
      <c r="F13" s="13" t="s">
        <v>186</v>
      </c>
    </row>
    <row r="14" customFormat="false" ht="15" hidden="false" customHeight="false" outlineLevel="0" collapsed="false">
      <c r="B14" s="15" t="s">
        <v>187</v>
      </c>
      <c r="C14" s="42" t="n">
        <f aca="false">'2 · Assumptions'!$C$24</f>
        <v>8</v>
      </c>
      <c r="D14" s="42" t="n">
        <f aca="false">'2 · Assumptions'!$C$24</f>
        <v>8</v>
      </c>
      <c r="E14" s="42" t="n">
        <f aca="false">'2 · Assumptions'!$C$24</f>
        <v>8</v>
      </c>
      <c r="F14" s="13" t="s">
        <v>188</v>
      </c>
    </row>
    <row r="15" customFormat="false" ht="15" hidden="false" customHeight="false" outlineLevel="0" collapsed="false">
      <c r="B15" s="15" t="s">
        <v>189</v>
      </c>
      <c r="C15" s="43" t="n">
        <f aca="false">C13*'2 · Assumptions'!$C$26</f>
        <v>48.6</v>
      </c>
      <c r="D15" s="43" t="n">
        <f aca="false">D13*'2 · Assumptions'!$C$26</f>
        <v>61.56</v>
      </c>
      <c r="E15" s="43" t="n">
        <f aca="false">E13*'2 · Assumptions'!$C$26</f>
        <v>71.28</v>
      </c>
      <c r="F15" s="13" t="s">
        <v>190</v>
      </c>
    </row>
    <row r="16" customFormat="false" ht="15" hidden="false" customHeight="false" outlineLevel="0" collapsed="false">
      <c r="B16" s="38" t="s">
        <v>191</v>
      </c>
      <c r="C16" s="44" t="n">
        <f aca="false">C15/C14</f>
        <v>6.075</v>
      </c>
      <c r="D16" s="44" t="n">
        <f aca="false">D15/D14</f>
        <v>7.695</v>
      </c>
      <c r="E16" s="44" t="n">
        <f aca="false">E15/E14</f>
        <v>8.91</v>
      </c>
      <c r="F16" s="13" t="s">
        <v>192</v>
      </c>
    </row>
    <row r="18" customFormat="false" ht="19.5" hidden="false" customHeight="true" outlineLevel="0" collapsed="false">
      <c r="B18" s="14" t="s">
        <v>193</v>
      </c>
      <c r="C18" s="14"/>
      <c r="D18" s="14"/>
      <c r="E18" s="14"/>
      <c r="F18" s="14"/>
    </row>
    <row r="19" customFormat="false" ht="18" hidden="false" customHeight="true" outlineLevel="0" collapsed="false">
      <c r="B19" s="46" t="s">
        <v>194</v>
      </c>
      <c r="C19" s="46"/>
      <c r="D19" s="46"/>
      <c r="E19" s="46"/>
      <c r="F19" s="46"/>
    </row>
    <row r="20" customFormat="false" ht="18" hidden="false" customHeight="true" outlineLevel="0" collapsed="false">
      <c r="B20" s="46"/>
      <c r="C20" s="46"/>
      <c r="D20" s="46"/>
      <c r="E20" s="46"/>
      <c r="F20" s="46"/>
    </row>
    <row r="21" customFormat="false" ht="15" hidden="false" customHeight="false" outlineLevel="0" collapsed="false">
      <c r="B21" s="46"/>
      <c r="C21" s="46"/>
      <c r="D21" s="46"/>
      <c r="E21" s="46"/>
      <c r="F21" s="46"/>
    </row>
  </sheetData>
  <mergeCells count="6">
    <mergeCell ref="A1:F1"/>
    <mergeCell ref="A2:F2"/>
    <mergeCell ref="B5:F5"/>
    <mergeCell ref="B12:F12"/>
    <mergeCell ref="B18:F18"/>
    <mergeCell ref="B19:F21"/>
  </mergeCells>
  <printOptions headings="false" gridLines="false" gridLinesSet="true" horizontalCentered="false" verticalCentered="false"/>
  <pageMargins left="0.4" right="0.4" top="0.4" bottom="0.4" header="0.511811023622047" footer="0.511811023622047"/>
  <pageSetup paperSize="1" scale="100" fitToWidth="1" fitToHeight="0" pageOrder="downThenOver" orientation="landscape" blackAndWhite="false" draft="false" cellComments="non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AA34"/>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3" ySplit="4" topLeftCell="D5" activePane="bottomRight" state="frozen"/>
      <selection pane="topLeft" activeCell="A1" activeCellId="0" sqref="A1"/>
      <selection pane="topRight" activeCell="D1" activeCellId="0" sqref="D1"/>
      <selection pane="bottomLeft" activeCell="A5" activeCellId="0" sqref="A5"/>
      <selection pane="bottomRight" activeCell="A1" activeCellId="0" sqref="A1"/>
    </sheetView>
  </sheetViews>
  <sheetFormatPr defaultColWidth="8.6796875" defaultRowHeight="15" customHeight="false" zeroHeight="false" outlineLevelRow="0" outlineLevelCol="0"/>
  <cols>
    <col collapsed="false" customWidth="true" hidden="false" outlineLevel="0" max="1" min="1" style="0" width="2"/>
    <col collapsed="false" customWidth="true" hidden="false" outlineLevel="0" max="2" min="2" style="0" width="36"/>
    <col collapsed="false" customWidth="true" hidden="false" outlineLevel="0" max="3" min="3" style="0" width="12"/>
    <col collapsed="false" customWidth="true" hidden="false" outlineLevel="0" max="27" min="4" style="0" width="11"/>
  </cols>
  <sheetData>
    <row r="1" customFormat="false" ht="31.5" hidden="false" customHeight="true" outlineLevel="0" collapsed="false">
      <c r="A1" s="1" t="s">
        <v>195</v>
      </c>
      <c r="B1" s="1"/>
      <c r="C1" s="1"/>
      <c r="D1" s="1"/>
      <c r="E1" s="1"/>
      <c r="F1" s="1"/>
      <c r="G1" s="1"/>
      <c r="H1" s="1"/>
      <c r="I1" s="1"/>
      <c r="J1" s="1"/>
      <c r="K1" s="1"/>
      <c r="L1" s="1"/>
      <c r="M1" s="1"/>
      <c r="N1" s="1"/>
      <c r="O1" s="1"/>
      <c r="P1" s="1"/>
      <c r="Q1" s="1"/>
      <c r="R1" s="1"/>
      <c r="S1" s="1"/>
      <c r="T1" s="1"/>
      <c r="U1" s="1"/>
      <c r="V1" s="1"/>
      <c r="W1" s="1"/>
      <c r="X1" s="1"/>
      <c r="Y1" s="1"/>
      <c r="Z1" s="1"/>
      <c r="AA1" s="1"/>
    </row>
    <row r="2" customFormat="false" ht="19.5" hidden="false" customHeight="true" outlineLevel="0" collapsed="false">
      <c r="A2" s="2" t="s">
        <v>196</v>
      </c>
      <c r="B2" s="2"/>
      <c r="C2" s="2"/>
      <c r="D2" s="2"/>
      <c r="E2" s="2"/>
      <c r="F2" s="2"/>
      <c r="G2" s="2"/>
      <c r="H2" s="2"/>
      <c r="I2" s="2"/>
      <c r="J2" s="2"/>
      <c r="K2" s="2"/>
      <c r="L2" s="2"/>
      <c r="M2" s="2"/>
      <c r="N2" s="2"/>
      <c r="O2" s="2"/>
      <c r="P2" s="2"/>
      <c r="Q2" s="2"/>
      <c r="R2" s="2"/>
      <c r="S2" s="2"/>
      <c r="T2" s="2"/>
      <c r="U2" s="2"/>
      <c r="V2" s="2"/>
      <c r="W2" s="2"/>
      <c r="X2" s="2"/>
      <c r="Y2" s="2"/>
      <c r="Z2" s="2"/>
      <c r="AA2" s="2"/>
    </row>
    <row r="4" customFormat="false" ht="15" hidden="false" customHeight="false" outlineLevel="0" collapsed="false">
      <c r="B4" s="5" t="s">
        <v>127</v>
      </c>
      <c r="C4" s="5" t="s">
        <v>197</v>
      </c>
      <c r="D4" s="31" t="s">
        <v>45</v>
      </c>
      <c r="E4" s="31" t="s">
        <v>129</v>
      </c>
      <c r="F4" s="31" t="s">
        <v>130</v>
      </c>
      <c r="G4" s="31" t="s">
        <v>131</v>
      </c>
      <c r="H4" s="31" t="s">
        <v>132</v>
      </c>
      <c r="I4" s="31" t="s">
        <v>133</v>
      </c>
      <c r="J4" s="31" t="s">
        <v>134</v>
      </c>
      <c r="K4" s="31" t="s">
        <v>135</v>
      </c>
      <c r="L4" s="31" t="s">
        <v>136</v>
      </c>
      <c r="M4" s="31" t="s">
        <v>137</v>
      </c>
      <c r="N4" s="31" t="s">
        <v>138</v>
      </c>
      <c r="O4" s="31" t="s">
        <v>139</v>
      </c>
      <c r="P4" s="31" t="s">
        <v>140</v>
      </c>
      <c r="Q4" s="31" t="s">
        <v>141</v>
      </c>
      <c r="R4" s="31" t="s">
        <v>142</v>
      </c>
      <c r="S4" s="31" t="s">
        <v>143</v>
      </c>
      <c r="T4" s="31" t="s">
        <v>144</v>
      </c>
      <c r="U4" s="31" t="s">
        <v>145</v>
      </c>
      <c r="V4" s="31" t="s">
        <v>146</v>
      </c>
      <c r="W4" s="31" t="s">
        <v>147</v>
      </c>
      <c r="X4" s="31" t="s">
        <v>148</v>
      </c>
      <c r="Y4" s="31" t="s">
        <v>149</v>
      </c>
      <c r="Z4" s="31" t="s">
        <v>150</v>
      </c>
      <c r="AA4" s="31" t="s">
        <v>151</v>
      </c>
    </row>
    <row r="5" customFormat="false" ht="15" hidden="false" customHeight="false" outlineLevel="0" collapsed="false">
      <c r="B5" s="13" t="s">
        <v>152</v>
      </c>
      <c r="D5" s="33" t="n">
        <v>1</v>
      </c>
      <c r="E5" s="33" t="n">
        <v>2</v>
      </c>
      <c r="F5" s="33" t="n">
        <v>3</v>
      </c>
      <c r="G5" s="33" t="n">
        <v>4</v>
      </c>
      <c r="H5" s="33" t="n">
        <v>5</v>
      </c>
      <c r="I5" s="33" t="n">
        <v>6</v>
      </c>
      <c r="J5" s="33" t="n">
        <v>7</v>
      </c>
      <c r="K5" s="33" t="n">
        <v>8</v>
      </c>
      <c r="L5" s="33" t="n">
        <v>9</v>
      </c>
      <c r="M5" s="33" t="n">
        <v>10</v>
      </c>
      <c r="N5" s="33" t="n">
        <v>11</v>
      </c>
      <c r="O5" s="33" t="n">
        <v>12</v>
      </c>
      <c r="P5" s="33" t="n">
        <v>13</v>
      </c>
      <c r="Q5" s="33" t="n">
        <v>14</v>
      </c>
      <c r="R5" s="33" t="n">
        <v>15</v>
      </c>
      <c r="S5" s="33" t="n">
        <v>16</v>
      </c>
      <c r="T5" s="33" t="n">
        <v>17</v>
      </c>
      <c r="U5" s="33" t="n">
        <v>18</v>
      </c>
      <c r="V5" s="33" t="n">
        <v>19</v>
      </c>
      <c r="W5" s="33" t="n">
        <v>20</v>
      </c>
      <c r="X5" s="33" t="n">
        <v>21</v>
      </c>
      <c r="Y5" s="33" t="n">
        <v>22</v>
      </c>
      <c r="Z5" s="33" t="n">
        <v>23</v>
      </c>
      <c r="AA5" s="33" t="n">
        <v>24</v>
      </c>
    </row>
    <row r="6" customFormat="false" ht="19.5" hidden="false" customHeight="true" outlineLevel="0" collapsed="false">
      <c r="B6" s="14" t="s">
        <v>198</v>
      </c>
      <c r="C6" s="14"/>
      <c r="D6" s="14"/>
      <c r="E6" s="14"/>
      <c r="F6" s="14"/>
      <c r="G6" s="14"/>
      <c r="H6" s="14"/>
      <c r="I6" s="14"/>
      <c r="J6" s="14"/>
      <c r="K6" s="14"/>
      <c r="L6" s="14"/>
      <c r="M6" s="14"/>
      <c r="N6" s="14"/>
      <c r="O6" s="14"/>
      <c r="P6" s="14"/>
      <c r="Q6" s="14"/>
      <c r="R6" s="14"/>
      <c r="S6" s="14"/>
      <c r="T6" s="14"/>
      <c r="U6" s="14"/>
      <c r="V6" s="14"/>
      <c r="W6" s="14"/>
      <c r="X6" s="14"/>
      <c r="Y6" s="14"/>
      <c r="Z6" s="14"/>
      <c r="AA6" s="14"/>
    </row>
    <row r="8" customFormat="false" ht="15" hidden="false" customHeight="false" outlineLevel="0" collapsed="false">
      <c r="B8" s="38" t="s">
        <v>165</v>
      </c>
      <c r="C8" s="41" t="n">
        <f aca="false">SUM(D8:AA8)</f>
        <v>2153981.25</v>
      </c>
      <c r="D8" s="47" t="n">
        <f aca="false">'3 · Revenue Build'!D14</f>
        <v>1020</v>
      </c>
      <c r="E8" s="47" t="n">
        <f aca="false">'3 · Revenue Build'!E14</f>
        <v>1816.32</v>
      </c>
      <c r="F8" s="47" t="n">
        <f aca="false">'3 · Revenue Build'!F14</f>
        <v>2756.16</v>
      </c>
      <c r="G8" s="47" t="n">
        <f aca="false">'3 · Revenue Build'!G14</f>
        <v>3843.84</v>
      </c>
      <c r="H8" s="47" t="n">
        <f aca="false">'3 · Revenue Build'!H14</f>
        <v>5083.68</v>
      </c>
      <c r="I8" s="47" t="n">
        <f aca="false">'3 · Revenue Build'!I14</f>
        <v>6480</v>
      </c>
      <c r="J8" s="47" t="n">
        <f aca="false">'3 · Revenue Build'!J14</f>
        <v>12398.75</v>
      </c>
      <c r="K8" s="47" t="n">
        <f aca="false">'3 · Revenue Build'!K14</f>
        <v>17710</v>
      </c>
      <c r="L8" s="47" t="n">
        <f aca="false">'3 · Revenue Build'!L14</f>
        <v>23726.25</v>
      </c>
      <c r="M8" s="47" t="n">
        <f aca="false">'3 · Revenue Build'!M14</f>
        <v>30464</v>
      </c>
      <c r="N8" s="47" t="n">
        <f aca="false">'3 · Revenue Build'!N14</f>
        <v>37939.75</v>
      </c>
      <c r="O8" s="47" t="n">
        <f aca="false">'3 · Revenue Build'!O14</f>
        <v>46170</v>
      </c>
      <c r="P8" s="47" t="n">
        <f aca="false">'3 · Revenue Build'!P14</f>
        <v>58977.1875</v>
      </c>
      <c r="Q8" s="47" t="n">
        <f aca="false">'3 · Revenue Build'!Q14</f>
        <v>73125</v>
      </c>
      <c r="R8" s="47" t="n">
        <f aca="false">'3 · Revenue Build'!R14</f>
        <v>88652.8125</v>
      </c>
      <c r="S8" s="47" t="n">
        <f aca="false">'3 · Revenue Build'!S14</f>
        <v>105600</v>
      </c>
      <c r="T8" s="47" t="n">
        <f aca="false">'3 · Revenue Build'!T14</f>
        <v>124005.9375</v>
      </c>
      <c r="U8" s="47" t="n">
        <f aca="false">'3 · Revenue Build'!U14</f>
        <v>143910</v>
      </c>
      <c r="V8" s="47" t="n">
        <f aca="false">'3 · Revenue Build'!V14</f>
        <v>165351.5625</v>
      </c>
      <c r="W8" s="47" t="n">
        <f aca="false">'3 · Revenue Build'!W14</f>
        <v>188370</v>
      </c>
      <c r="X8" s="47" t="n">
        <f aca="false">'3 · Revenue Build'!X14</f>
        <v>213004.6875</v>
      </c>
      <c r="Y8" s="47" t="n">
        <f aca="false">'3 · Revenue Build'!Y14</f>
        <v>239295</v>
      </c>
      <c r="Z8" s="47" t="n">
        <f aca="false">'3 · Revenue Build'!Z14</f>
        <v>267280.3125</v>
      </c>
      <c r="AA8" s="47" t="n">
        <f aca="false">'3 · Revenue Build'!AA14</f>
        <v>297000</v>
      </c>
    </row>
    <row r="9" customFormat="false" ht="15" hidden="false" customHeight="false" outlineLevel="0" collapsed="false">
      <c r="B9" s="15" t="s">
        <v>199</v>
      </c>
      <c r="C9" s="48" t="n">
        <f aca="false">SUM(D9:AA9)</f>
        <v>-521560.46875</v>
      </c>
      <c r="D9" s="48" t="n">
        <f aca="false">-'3 · Revenue Build'!D12*'2 · Assumptions'!$C$27</f>
        <v>-295.8</v>
      </c>
      <c r="E9" s="48" t="n">
        <f aca="false">-'3 · Revenue Build'!E12*'2 · Assumptions'!$C$27</f>
        <v>-526.7328</v>
      </c>
      <c r="F9" s="48" t="n">
        <f aca="false">-'3 · Revenue Build'!F12*'2 · Assumptions'!$C$27</f>
        <v>-799.2864</v>
      </c>
      <c r="G9" s="48" t="n">
        <f aca="false">-'3 · Revenue Build'!G12*'2 · Assumptions'!$C$27</f>
        <v>-1114.7136</v>
      </c>
      <c r="H9" s="48" t="n">
        <f aca="false">-'3 · Revenue Build'!H12*'2 · Assumptions'!$C$27</f>
        <v>-1474.2672</v>
      </c>
      <c r="I9" s="48" t="n">
        <f aca="false">-'3 · Revenue Build'!I12*'2 · Assumptions'!$C$27</f>
        <v>-1879.2</v>
      </c>
      <c r="J9" s="48" t="n">
        <f aca="false">-'3 · Revenue Build'!J12*'2 · Assumptions'!$C$27</f>
        <v>-2996.36458333333</v>
      </c>
      <c r="K9" s="48" t="n">
        <f aca="false">-'3 · Revenue Build'!K12*'2 · Assumptions'!$C$27</f>
        <v>-4279.91666666667</v>
      </c>
      <c r="L9" s="48" t="n">
        <f aca="false">-'3 · Revenue Build'!L12*'2 · Assumptions'!$C$27</f>
        <v>-5733.84375</v>
      </c>
      <c r="M9" s="48" t="n">
        <f aca="false">-'3 · Revenue Build'!M12*'2 · Assumptions'!$C$27</f>
        <v>-7362.13333333333</v>
      </c>
      <c r="N9" s="48" t="n">
        <f aca="false">-'3 · Revenue Build'!N12*'2 · Assumptions'!$C$27</f>
        <v>-9168.77291666667</v>
      </c>
      <c r="O9" s="48" t="n">
        <f aca="false">-'3 · Revenue Build'!O12*'2 · Assumptions'!$C$27</f>
        <v>-11157.75</v>
      </c>
      <c r="P9" s="48" t="n">
        <f aca="false">-'3 · Revenue Build'!P12*'2 · Assumptions'!$C$27</f>
        <v>-14252.8203125</v>
      </c>
      <c r="Q9" s="48" t="n">
        <f aca="false">-'3 · Revenue Build'!Q12*'2 · Assumptions'!$C$27</f>
        <v>-17671.875</v>
      </c>
      <c r="R9" s="48" t="n">
        <f aca="false">-'3 · Revenue Build'!R12*'2 · Assumptions'!$C$27</f>
        <v>-21424.4296875</v>
      </c>
      <c r="S9" s="48" t="n">
        <f aca="false">-'3 · Revenue Build'!S12*'2 · Assumptions'!$C$27</f>
        <v>-25520</v>
      </c>
      <c r="T9" s="48" t="n">
        <f aca="false">-'3 · Revenue Build'!T12*'2 · Assumptions'!$C$27</f>
        <v>-29968.1015625</v>
      </c>
      <c r="U9" s="48" t="n">
        <f aca="false">-'3 · Revenue Build'!U12*'2 · Assumptions'!$C$27</f>
        <v>-34778.25</v>
      </c>
      <c r="V9" s="48" t="n">
        <f aca="false">-'3 · Revenue Build'!V12*'2 · Assumptions'!$C$27</f>
        <v>-39959.9609375</v>
      </c>
      <c r="W9" s="48" t="n">
        <f aca="false">-'3 · Revenue Build'!W12*'2 · Assumptions'!$C$27</f>
        <v>-45522.75</v>
      </c>
      <c r="X9" s="48" t="n">
        <f aca="false">-'3 · Revenue Build'!X12*'2 · Assumptions'!$C$27</f>
        <v>-51476.1328125</v>
      </c>
      <c r="Y9" s="48" t="n">
        <f aca="false">-'3 · Revenue Build'!Y12*'2 · Assumptions'!$C$27</f>
        <v>-57829.625</v>
      </c>
      <c r="Z9" s="48" t="n">
        <f aca="false">-'3 · Revenue Build'!Z12*'2 · Assumptions'!$C$27</f>
        <v>-64592.7421875</v>
      </c>
      <c r="AA9" s="48" t="n">
        <f aca="false">-'3 · Revenue Build'!AA12*'2 · Assumptions'!$C$27</f>
        <v>-71775</v>
      </c>
    </row>
    <row r="10" customFormat="false" ht="15" hidden="false" customHeight="false" outlineLevel="0" collapsed="false">
      <c r="B10" s="15" t="s">
        <v>200</v>
      </c>
      <c r="C10" s="48" t="n">
        <f aca="false">SUM(D10:AA10)</f>
        <v>-35969.6875</v>
      </c>
      <c r="D10" s="48" t="n">
        <f aca="false">-'3 · Revenue Build'!D12*'2 · Assumptions'!$C$40</f>
        <v>-20.4</v>
      </c>
      <c r="E10" s="48" t="n">
        <f aca="false">-'3 · Revenue Build'!E12*'2 · Assumptions'!$C$40</f>
        <v>-36.3264</v>
      </c>
      <c r="F10" s="48" t="n">
        <f aca="false">-'3 · Revenue Build'!F12*'2 · Assumptions'!$C$40</f>
        <v>-55.1232</v>
      </c>
      <c r="G10" s="48" t="n">
        <f aca="false">-'3 · Revenue Build'!G12*'2 · Assumptions'!$C$40</f>
        <v>-76.8768</v>
      </c>
      <c r="H10" s="48" t="n">
        <f aca="false">-'3 · Revenue Build'!H12*'2 · Assumptions'!$C$40</f>
        <v>-101.6736</v>
      </c>
      <c r="I10" s="48" t="n">
        <f aca="false">-'3 · Revenue Build'!I12*'2 · Assumptions'!$C$40</f>
        <v>-129.6</v>
      </c>
      <c r="J10" s="48" t="n">
        <f aca="false">-'3 · Revenue Build'!J12*'2 · Assumptions'!$C$40</f>
        <v>-206.645833333333</v>
      </c>
      <c r="K10" s="48" t="n">
        <f aca="false">-'3 · Revenue Build'!K12*'2 · Assumptions'!$C$40</f>
        <v>-295.166666666667</v>
      </c>
      <c r="L10" s="48" t="n">
        <f aca="false">-'3 · Revenue Build'!L12*'2 · Assumptions'!$C$40</f>
        <v>-395.4375</v>
      </c>
      <c r="M10" s="48" t="n">
        <f aca="false">-'3 · Revenue Build'!M12*'2 · Assumptions'!$C$40</f>
        <v>-507.733333333333</v>
      </c>
      <c r="N10" s="48" t="n">
        <f aca="false">-'3 · Revenue Build'!N12*'2 · Assumptions'!$C$40</f>
        <v>-632.329166666667</v>
      </c>
      <c r="O10" s="48" t="n">
        <f aca="false">-'3 · Revenue Build'!O12*'2 · Assumptions'!$C$40</f>
        <v>-769.5</v>
      </c>
      <c r="P10" s="48" t="n">
        <f aca="false">-'3 · Revenue Build'!P12*'2 · Assumptions'!$C$40</f>
        <v>-982.953125</v>
      </c>
      <c r="Q10" s="48" t="n">
        <f aca="false">-'3 · Revenue Build'!Q12*'2 · Assumptions'!$C$40</f>
        <v>-1218.75</v>
      </c>
      <c r="R10" s="48" t="n">
        <f aca="false">-'3 · Revenue Build'!R12*'2 · Assumptions'!$C$40</f>
        <v>-1477.546875</v>
      </c>
      <c r="S10" s="48" t="n">
        <f aca="false">-'3 · Revenue Build'!S12*'2 · Assumptions'!$C$40</f>
        <v>-1760</v>
      </c>
      <c r="T10" s="48" t="n">
        <f aca="false">-'3 · Revenue Build'!T12*'2 · Assumptions'!$C$40</f>
        <v>-2066.765625</v>
      </c>
      <c r="U10" s="48" t="n">
        <f aca="false">-'3 · Revenue Build'!U12*'2 · Assumptions'!$C$40</f>
        <v>-2398.5</v>
      </c>
      <c r="V10" s="48" t="n">
        <f aca="false">-'3 · Revenue Build'!V12*'2 · Assumptions'!$C$40</f>
        <v>-2755.859375</v>
      </c>
      <c r="W10" s="48" t="n">
        <f aca="false">-'3 · Revenue Build'!W12*'2 · Assumptions'!$C$40</f>
        <v>-3139.5</v>
      </c>
      <c r="X10" s="48" t="n">
        <f aca="false">-'3 · Revenue Build'!X12*'2 · Assumptions'!$C$40</f>
        <v>-3550.078125</v>
      </c>
      <c r="Y10" s="48" t="n">
        <f aca="false">-'3 · Revenue Build'!Y12*'2 · Assumptions'!$C$40</f>
        <v>-3988.25</v>
      </c>
      <c r="Z10" s="48" t="n">
        <f aca="false">-'3 · Revenue Build'!Z12*'2 · Assumptions'!$C$40</f>
        <v>-4454.671875</v>
      </c>
      <c r="AA10" s="48" t="n">
        <f aca="false">-'3 · Revenue Build'!AA12*'2 · Assumptions'!$C$40</f>
        <v>-4950</v>
      </c>
    </row>
    <row r="11" customFormat="false" ht="15" hidden="false" customHeight="false" outlineLevel="0" collapsed="false">
      <c r="B11" s="15" t="s">
        <v>201</v>
      </c>
      <c r="C11" s="48" t="n">
        <f aca="false">SUM(D11:AA11)</f>
        <v>-89924.21875</v>
      </c>
      <c r="D11" s="48" t="n">
        <f aca="false">-'3 · Revenue Build'!D12*'2 · Assumptions'!$C$41</f>
        <v>-51</v>
      </c>
      <c r="E11" s="48" t="n">
        <f aca="false">-'3 · Revenue Build'!E12*'2 · Assumptions'!$C$41</f>
        <v>-90.816</v>
      </c>
      <c r="F11" s="48" t="n">
        <f aca="false">-'3 · Revenue Build'!F12*'2 · Assumptions'!$C$41</f>
        <v>-137.808</v>
      </c>
      <c r="G11" s="48" t="n">
        <f aca="false">-'3 · Revenue Build'!G12*'2 · Assumptions'!$C$41</f>
        <v>-192.192</v>
      </c>
      <c r="H11" s="48" t="n">
        <f aca="false">-'3 · Revenue Build'!H12*'2 · Assumptions'!$C$41</f>
        <v>-254.184</v>
      </c>
      <c r="I11" s="48" t="n">
        <f aca="false">-'3 · Revenue Build'!I12*'2 · Assumptions'!$C$41</f>
        <v>-324</v>
      </c>
      <c r="J11" s="48" t="n">
        <f aca="false">-'3 · Revenue Build'!J12*'2 · Assumptions'!$C$41</f>
        <v>-516.614583333333</v>
      </c>
      <c r="K11" s="48" t="n">
        <f aca="false">-'3 · Revenue Build'!K12*'2 · Assumptions'!$C$41</f>
        <v>-737.916666666667</v>
      </c>
      <c r="L11" s="48" t="n">
        <f aca="false">-'3 · Revenue Build'!L12*'2 · Assumptions'!$C$41</f>
        <v>-988.59375</v>
      </c>
      <c r="M11" s="48" t="n">
        <f aca="false">-'3 · Revenue Build'!M12*'2 · Assumptions'!$C$41</f>
        <v>-1269.33333333333</v>
      </c>
      <c r="N11" s="48" t="n">
        <f aca="false">-'3 · Revenue Build'!N12*'2 · Assumptions'!$C$41</f>
        <v>-1580.82291666667</v>
      </c>
      <c r="O11" s="48" t="n">
        <f aca="false">-'3 · Revenue Build'!O12*'2 · Assumptions'!$C$41</f>
        <v>-1923.75</v>
      </c>
      <c r="P11" s="48" t="n">
        <f aca="false">-'3 · Revenue Build'!P12*'2 · Assumptions'!$C$41</f>
        <v>-2457.3828125</v>
      </c>
      <c r="Q11" s="48" t="n">
        <f aca="false">-'3 · Revenue Build'!Q12*'2 · Assumptions'!$C$41</f>
        <v>-3046.875</v>
      </c>
      <c r="R11" s="48" t="n">
        <f aca="false">-'3 · Revenue Build'!R12*'2 · Assumptions'!$C$41</f>
        <v>-3693.8671875</v>
      </c>
      <c r="S11" s="48" t="n">
        <f aca="false">-'3 · Revenue Build'!S12*'2 · Assumptions'!$C$41</f>
        <v>-4400</v>
      </c>
      <c r="T11" s="48" t="n">
        <f aca="false">-'3 · Revenue Build'!T12*'2 · Assumptions'!$C$41</f>
        <v>-5166.9140625</v>
      </c>
      <c r="U11" s="48" t="n">
        <f aca="false">-'3 · Revenue Build'!U12*'2 · Assumptions'!$C$41</f>
        <v>-5996.25</v>
      </c>
      <c r="V11" s="48" t="n">
        <f aca="false">-'3 · Revenue Build'!V12*'2 · Assumptions'!$C$41</f>
        <v>-6889.6484375</v>
      </c>
      <c r="W11" s="48" t="n">
        <f aca="false">-'3 · Revenue Build'!W12*'2 · Assumptions'!$C$41</f>
        <v>-7848.75</v>
      </c>
      <c r="X11" s="48" t="n">
        <f aca="false">-'3 · Revenue Build'!X12*'2 · Assumptions'!$C$41</f>
        <v>-8875.1953125</v>
      </c>
      <c r="Y11" s="48" t="n">
        <f aca="false">-'3 · Revenue Build'!Y12*'2 · Assumptions'!$C$41</f>
        <v>-9970.625</v>
      </c>
      <c r="Z11" s="48" t="n">
        <f aca="false">-'3 · Revenue Build'!Z12*'2 · Assumptions'!$C$41</f>
        <v>-11136.6796875</v>
      </c>
      <c r="AA11" s="48" t="n">
        <f aca="false">-'3 · Revenue Build'!AA12*'2 · Assumptions'!$C$41</f>
        <v>-12375</v>
      </c>
    </row>
    <row r="12" customFormat="false" ht="15" hidden="false" customHeight="false" outlineLevel="0" collapsed="false">
      <c r="B12" s="38" t="s">
        <v>202</v>
      </c>
      <c r="C12" s="49" t="n">
        <f aca="false">SUM(D12:AA12)</f>
        <v>1506526.875</v>
      </c>
      <c r="D12" s="49" t="n">
        <f aca="false">SUM(D8:D11)</f>
        <v>652.8</v>
      </c>
      <c r="E12" s="49" t="n">
        <f aca="false">SUM(E8:E11)</f>
        <v>1162.4448</v>
      </c>
      <c r="F12" s="49" t="n">
        <f aca="false">SUM(F8:F11)</f>
        <v>1763.9424</v>
      </c>
      <c r="G12" s="49" t="n">
        <f aca="false">SUM(G8:G11)</f>
        <v>2460.0576</v>
      </c>
      <c r="H12" s="49" t="n">
        <f aca="false">SUM(H8:H11)</f>
        <v>3253.5552</v>
      </c>
      <c r="I12" s="49" t="n">
        <f aca="false">SUM(I8:I11)</f>
        <v>4147.2</v>
      </c>
      <c r="J12" s="49" t="n">
        <f aca="false">SUM(J8:J11)</f>
        <v>8679.125</v>
      </c>
      <c r="K12" s="49" t="n">
        <f aca="false">SUM(K8:K11)</f>
        <v>12397</v>
      </c>
      <c r="L12" s="49" t="n">
        <f aca="false">SUM(L8:L11)</f>
        <v>16608.375</v>
      </c>
      <c r="M12" s="49" t="n">
        <f aca="false">SUM(M8:M11)</f>
        <v>21324.8</v>
      </c>
      <c r="N12" s="49" t="n">
        <f aca="false">SUM(N8:N11)</f>
        <v>26557.825</v>
      </c>
      <c r="O12" s="49" t="n">
        <f aca="false">SUM(O8:O11)</f>
        <v>32319</v>
      </c>
      <c r="P12" s="49" t="n">
        <f aca="false">SUM(P8:P11)</f>
        <v>41284.03125</v>
      </c>
      <c r="Q12" s="49" t="n">
        <f aca="false">SUM(Q8:Q11)</f>
        <v>51187.5</v>
      </c>
      <c r="R12" s="49" t="n">
        <f aca="false">SUM(R8:R11)</f>
        <v>62056.96875</v>
      </c>
      <c r="S12" s="49" t="n">
        <f aca="false">SUM(S8:S11)</f>
        <v>73920</v>
      </c>
      <c r="T12" s="49" t="n">
        <f aca="false">SUM(T8:T11)</f>
        <v>86804.15625</v>
      </c>
      <c r="U12" s="49" t="n">
        <f aca="false">SUM(U8:U11)</f>
        <v>100737</v>
      </c>
      <c r="V12" s="49" t="n">
        <f aca="false">SUM(V8:V11)</f>
        <v>115746.09375</v>
      </c>
      <c r="W12" s="49" t="n">
        <f aca="false">SUM(W8:W11)</f>
        <v>131859</v>
      </c>
      <c r="X12" s="49" t="n">
        <f aca="false">SUM(X8:X11)</f>
        <v>149103.28125</v>
      </c>
      <c r="Y12" s="49" t="n">
        <f aca="false">SUM(Y8:Y11)</f>
        <v>167506.5</v>
      </c>
      <c r="Z12" s="49" t="n">
        <f aca="false">SUM(Z8:Z11)</f>
        <v>187096.21875</v>
      </c>
      <c r="AA12" s="49" t="n">
        <f aca="false">SUM(AA8:AA11)</f>
        <v>207900</v>
      </c>
    </row>
    <row r="13" customFormat="false" ht="15" hidden="false" customHeight="false" outlineLevel="0" collapsed="false">
      <c r="B13" s="13" t="s">
        <v>203</v>
      </c>
      <c r="D13" s="50" t="n">
        <f aca="false">IFERROR(D12/D8,0)</f>
        <v>0.64</v>
      </c>
      <c r="E13" s="50" t="n">
        <f aca="false">IFERROR(E12/E8,0)</f>
        <v>0.64</v>
      </c>
      <c r="F13" s="50" t="n">
        <f aca="false">IFERROR(F12/F8,0)</f>
        <v>0.64</v>
      </c>
      <c r="G13" s="50" t="n">
        <f aca="false">IFERROR(G12/G8,0)</f>
        <v>0.64</v>
      </c>
      <c r="H13" s="50" t="n">
        <f aca="false">IFERROR(H12/H8,0)</f>
        <v>0.64</v>
      </c>
      <c r="I13" s="50" t="n">
        <f aca="false">IFERROR(I12/I8,0)</f>
        <v>0.64</v>
      </c>
      <c r="J13" s="50" t="n">
        <f aca="false">IFERROR(J12/J8,0)</f>
        <v>0.7</v>
      </c>
      <c r="K13" s="50" t="n">
        <f aca="false">IFERROR(K12/K8,0)</f>
        <v>0.7</v>
      </c>
      <c r="L13" s="50" t="n">
        <f aca="false">IFERROR(L12/L8,0)</f>
        <v>0.7</v>
      </c>
      <c r="M13" s="50" t="n">
        <f aca="false">IFERROR(M12/M8,0)</f>
        <v>0.7</v>
      </c>
      <c r="N13" s="50" t="n">
        <f aca="false">IFERROR(N12/N8,0)</f>
        <v>0.7</v>
      </c>
      <c r="O13" s="50" t="n">
        <f aca="false">IFERROR(O12/O8,0)</f>
        <v>0.7</v>
      </c>
      <c r="P13" s="50" t="n">
        <f aca="false">IFERROR(P12/P8,0)</f>
        <v>0.7</v>
      </c>
      <c r="Q13" s="50" t="n">
        <f aca="false">IFERROR(Q12/Q8,0)</f>
        <v>0.7</v>
      </c>
      <c r="R13" s="50" t="n">
        <f aca="false">IFERROR(R12/R8,0)</f>
        <v>0.7</v>
      </c>
      <c r="S13" s="50" t="n">
        <f aca="false">IFERROR(S12/S8,0)</f>
        <v>0.7</v>
      </c>
      <c r="T13" s="50" t="n">
        <f aca="false">IFERROR(T12/T8,0)</f>
        <v>0.7</v>
      </c>
      <c r="U13" s="50" t="n">
        <f aca="false">IFERROR(U12/U8,0)</f>
        <v>0.7</v>
      </c>
      <c r="V13" s="50" t="n">
        <f aca="false">IFERROR(V12/V8,0)</f>
        <v>0.7</v>
      </c>
      <c r="W13" s="50" t="n">
        <f aca="false">IFERROR(W12/W8,0)</f>
        <v>0.7</v>
      </c>
      <c r="X13" s="50" t="n">
        <f aca="false">IFERROR(X12/X8,0)</f>
        <v>0.7</v>
      </c>
      <c r="Y13" s="50" t="n">
        <f aca="false">IFERROR(Y12/Y8,0)</f>
        <v>0.7</v>
      </c>
      <c r="Z13" s="50" t="n">
        <f aca="false">IFERROR(Z12/Z8,0)</f>
        <v>0.7</v>
      </c>
      <c r="AA13" s="50" t="n">
        <f aca="false">IFERROR(AA12/AA8,0)</f>
        <v>0.7</v>
      </c>
    </row>
    <row r="15" customFormat="false" ht="19.5" hidden="false" customHeight="true" outlineLevel="0" collapsed="false">
      <c r="B15" s="14" t="s">
        <v>204</v>
      </c>
      <c r="C15" s="14"/>
      <c r="D15" s="14"/>
      <c r="E15" s="14"/>
      <c r="F15" s="14"/>
      <c r="G15" s="14"/>
      <c r="H15" s="14"/>
      <c r="I15" s="14"/>
      <c r="J15" s="14"/>
      <c r="K15" s="14"/>
      <c r="L15" s="14"/>
      <c r="M15" s="14"/>
      <c r="N15" s="14"/>
      <c r="O15" s="14"/>
      <c r="P15" s="14"/>
      <c r="Q15" s="14"/>
      <c r="R15" s="14"/>
      <c r="S15" s="14"/>
      <c r="T15" s="14"/>
      <c r="U15" s="14"/>
      <c r="V15" s="14"/>
      <c r="W15" s="14"/>
      <c r="X15" s="14"/>
      <c r="Y15" s="14"/>
      <c r="Z15" s="14"/>
      <c r="AA15" s="14"/>
    </row>
    <row r="17" customFormat="false" ht="15" hidden="false" customHeight="false" outlineLevel="0" collapsed="false">
      <c r="B17" s="15" t="s">
        <v>205</v>
      </c>
      <c r="C17" s="48" t="n">
        <f aca="false">SUM(D17:AA17)</f>
        <v>-360000</v>
      </c>
      <c r="D17" s="48" t="n">
        <f aca="false">-('2 · Assumptions'!$C$31)*'2 · Assumptions'!$F$31</f>
        <v>-15000</v>
      </c>
      <c r="E17" s="48" t="n">
        <f aca="false">-(ROUND('2 · Assumptions'!$C$31+('2 · Assumptions'!$D$31-'2 · Assumptions'!$C$31)*0.0909090909090909,0))*'2 · Assumptions'!$F$31</f>
        <v>-15000</v>
      </c>
      <c r="F17" s="48" t="n">
        <f aca="false">-(ROUND('2 · Assumptions'!$C$31+('2 · Assumptions'!$D$31-'2 · Assumptions'!$C$31)*0.181818181818182,0))*'2 · Assumptions'!$F$31</f>
        <v>-15000</v>
      </c>
      <c r="G17" s="48" t="n">
        <f aca="false">-(ROUND('2 · Assumptions'!$C$31+('2 · Assumptions'!$D$31-'2 · Assumptions'!$C$31)*0.272727272727273,0))*'2 · Assumptions'!$F$31</f>
        <v>-15000</v>
      </c>
      <c r="H17" s="48" t="n">
        <f aca="false">-(ROUND('2 · Assumptions'!$C$31+('2 · Assumptions'!$D$31-'2 · Assumptions'!$C$31)*0.363636363636364,0))*'2 · Assumptions'!$F$31</f>
        <v>-15000</v>
      </c>
      <c r="I17" s="48" t="n">
        <f aca="false">-(ROUND('2 · Assumptions'!$C$31+('2 · Assumptions'!$D$31-'2 · Assumptions'!$C$31)*0.454545454545455,0))*'2 · Assumptions'!$F$31</f>
        <v>-15000</v>
      </c>
      <c r="J17" s="48" t="n">
        <f aca="false">-(ROUND('2 · Assumptions'!$C$31+('2 · Assumptions'!$D$31-'2 · Assumptions'!$C$31)*0.545454545454545,0))*'2 · Assumptions'!$F$31</f>
        <v>-15000</v>
      </c>
      <c r="K17" s="48" t="n">
        <f aca="false">-(ROUND('2 · Assumptions'!$C$31+('2 · Assumptions'!$D$31-'2 · Assumptions'!$C$31)*0.636363636363636,0))*'2 · Assumptions'!$F$31</f>
        <v>-15000</v>
      </c>
      <c r="L17" s="48" t="n">
        <f aca="false">-(ROUND('2 · Assumptions'!$C$31+('2 · Assumptions'!$D$31-'2 · Assumptions'!$C$31)*0.727272727272727,0))*'2 · Assumptions'!$F$31</f>
        <v>-15000</v>
      </c>
      <c r="M17" s="48" t="n">
        <f aca="false">-(ROUND('2 · Assumptions'!$C$31+('2 · Assumptions'!$D$31-'2 · Assumptions'!$C$31)*0.818181818181818,0))*'2 · Assumptions'!$F$31</f>
        <v>-15000</v>
      </c>
      <c r="N17" s="48" t="n">
        <f aca="false">-(ROUND('2 · Assumptions'!$C$31+('2 · Assumptions'!$D$31-'2 · Assumptions'!$C$31)*0.909090909090909,0))*'2 · Assumptions'!$F$31</f>
        <v>-15000</v>
      </c>
      <c r="O17" s="48" t="n">
        <f aca="false">-(ROUND('2 · Assumptions'!$C$31+('2 · Assumptions'!$D$31-'2 · Assumptions'!$C$31)*1,0))*'2 · Assumptions'!$F$31</f>
        <v>-15000</v>
      </c>
      <c r="P17" s="48" t="n">
        <f aca="false">-(ROUND('2 · Assumptions'!$D$31+('2 · Assumptions'!$E$31-'2 · Assumptions'!$D$31)*0.0833333333333333,0))*'2 · Assumptions'!$F$31</f>
        <v>-15000</v>
      </c>
      <c r="Q17" s="48" t="n">
        <f aca="false">-(ROUND('2 · Assumptions'!$D$31+('2 · Assumptions'!$E$31-'2 · Assumptions'!$D$31)*0.166666666666667,0))*'2 · Assumptions'!$F$31</f>
        <v>-15000</v>
      </c>
      <c r="R17" s="48" t="n">
        <f aca="false">-(ROUND('2 · Assumptions'!$D$31+('2 · Assumptions'!$E$31-'2 · Assumptions'!$D$31)*0.25,0))*'2 · Assumptions'!$F$31</f>
        <v>-15000</v>
      </c>
      <c r="S17" s="48" t="n">
        <f aca="false">-(ROUND('2 · Assumptions'!$D$31+('2 · Assumptions'!$E$31-'2 · Assumptions'!$D$31)*0.333333333333333,0))*'2 · Assumptions'!$F$31</f>
        <v>-15000</v>
      </c>
      <c r="T17" s="48" t="n">
        <f aca="false">-(ROUND('2 · Assumptions'!$D$31+('2 · Assumptions'!$E$31-'2 · Assumptions'!$D$31)*0.416666666666667,0))*'2 · Assumptions'!$F$31</f>
        <v>-15000</v>
      </c>
      <c r="U17" s="48" t="n">
        <f aca="false">-(ROUND('2 · Assumptions'!$D$31+('2 · Assumptions'!$E$31-'2 · Assumptions'!$D$31)*0.5,0))*'2 · Assumptions'!$F$31</f>
        <v>-15000</v>
      </c>
      <c r="V17" s="48" t="n">
        <f aca="false">-(ROUND('2 · Assumptions'!$D$31+('2 · Assumptions'!$E$31-'2 · Assumptions'!$D$31)*0.583333333333333,0))*'2 · Assumptions'!$F$31</f>
        <v>-15000</v>
      </c>
      <c r="W17" s="48" t="n">
        <f aca="false">-(ROUND('2 · Assumptions'!$D$31+('2 · Assumptions'!$E$31-'2 · Assumptions'!$D$31)*0.666666666666667,0))*'2 · Assumptions'!$F$31</f>
        <v>-15000</v>
      </c>
      <c r="X17" s="48" t="n">
        <f aca="false">-(ROUND('2 · Assumptions'!$D$31+('2 · Assumptions'!$E$31-'2 · Assumptions'!$D$31)*0.75,0))*'2 · Assumptions'!$F$31</f>
        <v>-15000</v>
      </c>
      <c r="Y17" s="48" t="n">
        <f aca="false">-(ROUND('2 · Assumptions'!$D$31+('2 · Assumptions'!$E$31-'2 · Assumptions'!$D$31)*0.833333333333333,0))*'2 · Assumptions'!$F$31</f>
        <v>-15000</v>
      </c>
      <c r="Z17" s="48" t="n">
        <f aca="false">-(ROUND('2 · Assumptions'!$D$31+('2 · Assumptions'!$E$31-'2 · Assumptions'!$D$31)*0.916666666666667,0))*'2 · Assumptions'!$F$31</f>
        <v>-15000</v>
      </c>
      <c r="AA17" s="48" t="n">
        <f aca="false">-(ROUND('2 · Assumptions'!$D$31+('2 · Assumptions'!$E$31-'2 · Assumptions'!$D$31)*1,0))*'2 · Assumptions'!$F$31</f>
        <v>-15000</v>
      </c>
    </row>
    <row r="18" customFormat="false" ht="15" hidden="false" customHeight="false" outlineLevel="0" collapsed="false">
      <c r="B18" s="15" t="s">
        <v>206</v>
      </c>
      <c r="C18" s="48" t="n">
        <f aca="false">SUM(D18:AA18)</f>
        <v>-720000</v>
      </c>
      <c r="D18" s="48" t="n">
        <f aca="false">-('2 · Assumptions'!$C$32)*'2 · Assumptions'!$F$32</f>
        <v>-0</v>
      </c>
      <c r="E18" s="48" t="n">
        <f aca="false">-(ROUND('2 · Assumptions'!$C$32+('2 · Assumptions'!$D$32-'2 · Assumptions'!$C$32)*0.0909090909090909,0))*'2 · Assumptions'!$F$32</f>
        <v>-0</v>
      </c>
      <c r="F18" s="48" t="n">
        <f aca="false">-(ROUND('2 · Assumptions'!$C$32+('2 · Assumptions'!$D$32-'2 · Assumptions'!$C$32)*0.181818181818182,0))*'2 · Assumptions'!$F$32</f>
        <v>-9000</v>
      </c>
      <c r="G18" s="48" t="n">
        <f aca="false">-(ROUND('2 · Assumptions'!$C$32+('2 · Assumptions'!$D$32-'2 · Assumptions'!$C$32)*0.272727272727273,0))*'2 · Assumptions'!$F$32</f>
        <v>-9000</v>
      </c>
      <c r="H18" s="48" t="n">
        <f aca="false">-(ROUND('2 · Assumptions'!$C$32+('2 · Assumptions'!$D$32-'2 · Assumptions'!$C$32)*0.363636363636364,0))*'2 · Assumptions'!$F$32</f>
        <v>-9000</v>
      </c>
      <c r="I18" s="48" t="n">
        <f aca="false">-(ROUND('2 · Assumptions'!$C$32+('2 · Assumptions'!$D$32-'2 · Assumptions'!$C$32)*0.454545454545455,0))*'2 · Assumptions'!$F$32</f>
        <v>-9000</v>
      </c>
      <c r="J18" s="48" t="n">
        <f aca="false">-(ROUND('2 · Assumptions'!$C$32+('2 · Assumptions'!$D$32-'2 · Assumptions'!$C$32)*0.545454545454545,0))*'2 · Assumptions'!$F$32</f>
        <v>-18000</v>
      </c>
      <c r="K18" s="48" t="n">
        <f aca="false">-(ROUND('2 · Assumptions'!$C$32+('2 · Assumptions'!$D$32-'2 · Assumptions'!$C$32)*0.636363636363636,0))*'2 · Assumptions'!$F$32</f>
        <v>-18000</v>
      </c>
      <c r="L18" s="48" t="n">
        <f aca="false">-(ROUND('2 · Assumptions'!$C$32+('2 · Assumptions'!$D$32-'2 · Assumptions'!$C$32)*0.727272727272727,0))*'2 · Assumptions'!$F$32</f>
        <v>-18000</v>
      </c>
      <c r="M18" s="48" t="n">
        <f aca="false">-(ROUND('2 · Assumptions'!$C$32+('2 · Assumptions'!$D$32-'2 · Assumptions'!$C$32)*0.818181818181818,0))*'2 · Assumptions'!$F$32</f>
        <v>-18000</v>
      </c>
      <c r="N18" s="48" t="n">
        <f aca="false">-(ROUND('2 · Assumptions'!$C$32+('2 · Assumptions'!$D$32-'2 · Assumptions'!$C$32)*0.909090909090909,0))*'2 · Assumptions'!$F$32</f>
        <v>-27000</v>
      </c>
      <c r="O18" s="48" t="n">
        <f aca="false">-(ROUND('2 · Assumptions'!$C$32+('2 · Assumptions'!$D$32-'2 · Assumptions'!$C$32)*1,0))*'2 · Assumptions'!$F$32</f>
        <v>-27000</v>
      </c>
      <c r="P18" s="48" t="n">
        <f aca="false">-(ROUND('2 · Assumptions'!$D$32+('2 · Assumptions'!$E$32-'2 · Assumptions'!$D$32)*0.0833333333333333,0))*'2 · Assumptions'!$F$32</f>
        <v>-27000</v>
      </c>
      <c r="Q18" s="48" t="n">
        <f aca="false">-(ROUND('2 · Assumptions'!$D$32+('2 · Assumptions'!$E$32-'2 · Assumptions'!$D$32)*0.166666666666667,0))*'2 · Assumptions'!$F$32</f>
        <v>-36000</v>
      </c>
      <c r="R18" s="48" t="n">
        <f aca="false">-(ROUND('2 · Assumptions'!$D$32+('2 · Assumptions'!$E$32-'2 · Assumptions'!$D$32)*0.25,0))*'2 · Assumptions'!$F$32</f>
        <v>-36000</v>
      </c>
      <c r="S18" s="48" t="n">
        <f aca="false">-(ROUND('2 · Assumptions'!$D$32+('2 · Assumptions'!$E$32-'2 · Assumptions'!$D$32)*0.333333333333333,0))*'2 · Assumptions'!$F$32</f>
        <v>-36000</v>
      </c>
      <c r="T18" s="48" t="n">
        <f aca="false">-(ROUND('2 · Assumptions'!$D$32+('2 · Assumptions'!$E$32-'2 · Assumptions'!$D$32)*0.416666666666667,0))*'2 · Assumptions'!$F$32</f>
        <v>-45000</v>
      </c>
      <c r="U18" s="48" t="n">
        <f aca="false">-(ROUND('2 · Assumptions'!$D$32+('2 · Assumptions'!$E$32-'2 · Assumptions'!$D$32)*0.5,0))*'2 · Assumptions'!$F$32</f>
        <v>-45000</v>
      </c>
      <c r="V18" s="48" t="n">
        <f aca="false">-(ROUND('2 · Assumptions'!$D$32+('2 · Assumptions'!$E$32-'2 · Assumptions'!$D$32)*0.583333333333333,0))*'2 · Assumptions'!$F$32</f>
        <v>-45000</v>
      </c>
      <c r="W18" s="48" t="n">
        <f aca="false">-(ROUND('2 · Assumptions'!$D$32+('2 · Assumptions'!$E$32-'2 · Assumptions'!$D$32)*0.666666666666667,0))*'2 · Assumptions'!$F$32</f>
        <v>-54000</v>
      </c>
      <c r="X18" s="48" t="n">
        <f aca="false">-(ROUND('2 · Assumptions'!$D$32+('2 · Assumptions'!$E$32-'2 · Assumptions'!$D$32)*0.75,0))*'2 · Assumptions'!$F$32</f>
        <v>-54000</v>
      </c>
      <c r="Y18" s="48" t="n">
        <f aca="false">-(ROUND('2 · Assumptions'!$D$32+('2 · Assumptions'!$E$32-'2 · Assumptions'!$D$32)*0.833333333333333,0))*'2 · Assumptions'!$F$32</f>
        <v>-54000</v>
      </c>
      <c r="Z18" s="48" t="n">
        <f aca="false">-(ROUND('2 · Assumptions'!$D$32+('2 · Assumptions'!$E$32-'2 · Assumptions'!$D$32)*0.916666666666667,0))*'2 · Assumptions'!$F$32</f>
        <v>-63000</v>
      </c>
      <c r="AA18" s="48" t="n">
        <f aca="false">-(ROUND('2 · Assumptions'!$D$32+('2 · Assumptions'!$E$32-'2 · Assumptions'!$D$32)*1,0))*'2 · Assumptions'!$F$32</f>
        <v>-63000</v>
      </c>
    </row>
    <row r="19" customFormat="false" ht="15" hidden="false" customHeight="false" outlineLevel="0" collapsed="false">
      <c r="B19" s="15" t="s">
        <v>207</v>
      </c>
      <c r="C19" s="48" t="n">
        <f aca="false">SUM(D19:AA19)</f>
        <v>-176000</v>
      </c>
      <c r="D19" s="48" t="n">
        <f aca="false">-('2 · Assumptions'!$C$33)*'2 · Assumptions'!$F$33</f>
        <v>-0</v>
      </c>
      <c r="E19" s="48" t="n">
        <f aca="false">-(ROUND('2 · Assumptions'!$C$33+('2 · Assumptions'!$D$33-'2 · Assumptions'!$C$33)*0.0909090909090909,0))*'2 · Assumptions'!$F$33</f>
        <v>-0</v>
      </c>
      <c r="F19" s="48" t="n">
        <f aca="false">-(ROUND('2 · Assumptions'!$C$33+('2 · Assumptions'!$D$33-'2 · Assumptions'!$C$33)*0.181818181818182,0))*'2 · Assumptions'!$F$33</f>
        <v>-0</v>
      </c>
      <c r="G19" s="48" t="n">
        <f aca="false">-(ROUND('2 · Assumptions'!$C$33+('2 · Assumptions'!$D$33-'2 · Assumptions'!$C$33)*0.272727272727273,0))*'2 · Assumptions'!$F$33</f>
        <v>-0</v>
      </c>
      <c r="H19" s="48" t="n">
        <f aca="false">-(ROUND('2 · Assumptions'!$C$33+('2 · Assumptions'!$D$33-'2 · Assumptions'!$C$33)*0.363636363636364,0))*'2 · Assumptions'!$F$33</f>
        <v>-0</v>
      </c>
      <c r="I19" s="48" t="n">
        <f aca="false">-(ROUND('2 · Assumptions'!$C$33+('2 · Assumptions'!$D$33-'2 · Assumptions'!$C$33)*0.454545454545455,0))*'2 · Assumptions'!$F$33</f>
        <v>-0</v>
      </c>
      <c r="J19" s="48" t="n">
        <f aca="false">-(ROUND('2 · Assumptions'!$C$33+('2 · Assumptions'!$D$33-'2 · Assumptions'!$C$33)*0.545454545454545,0))*'2 · Assumptions'!$F$33</f>
        <v>-5500</v>
      </c>
      <c r="K19" s="48" t="n">
        <f aca="false">-(ROUND('2 · Assumptions'!$C$33+('2 · Assumptions'!$D$33-'2 · Assumptions'!$C$33)*0.636363636363636,0))*'2 · Assumptions'!$F$33</f>
        <v>-5500</v>
      </c>
      <c r="L19" s="48" t="n">
        <f aca="false">-(ROUND('2 · Assumptions'!$C$33+('2 · Assumptions'!$D$33-'2 · Assumptions'!$C$33)*0.727272727272727,0))*'2 · Assumptions'!$F$33</f>
        <v>-5500</v>
      </c>
      <c r="M19" s="48" t="n">
        <f aca="false">-(ROUND('2 · Assumptions'!$C$33+('2 · Assumptions'!$D$33-'2 · Assumptions'!$C$33)*0.818181818181818,0))*'2 · Assumptions'!$F$33</f>
        <v>-5500</v>
      </c>
      <c r="N19" s="48" t="n">
        <f aca="false">-(ROUND('2 · Assumptions'!$C$33+('2 · Assumptions'!$D$33-'2 · Assumptions'!$C$33)*0.909090909090909,0))*'2 · Assumptions'!$F$33</f>
        <v>-5500</v>
      </c>
      <c r="O19" s="48" t="n">
        <f aca="false">-(ROUND('2 · Assumptions'!$C$33+('2 · Assumptions'!$D$33-'2 · Assumptions'!$C$33)*1,0))*'2 · Assumptions'!$F$33</f>
        <v>-5500</v>
      </c>
      <c r="P19" s="48" t="n">
        <f aca="false">-(ROUND('2 · Assumptions'!$D$33+('2 · Assumptions'!$E$33-'2 · Assumptions'!$D$33)*0.0833333333333333,0))*'2 · Assumptions'!$F$33</f>
        <v>-5500</v>
      </c>
      <c r="Q19" s="48" t="n">
        <f aca="false">-(ROUND('2 · Assumptions'!$D$33+('2 · Assumptions'!$E$33-'2 · Assumptions'!$D$33)*0.166666666666667,0))*'2 · Assumptions'!$F$33</f>
        <v>-5500</v>
      </c>
      <c r="R19" s="48" t="n">
        <f aca="false">-(ROUND('2 · Assumptions'!$D$33+('2 · Assumptions'!$E$33-'2 · Assumptions'!$D$33)*0.25,0))*'2 · Assumptions'!$F$33</f>
        <v>-11000</v>
      </c>
      <c r="S19" s="48" t="n">
        <f aca="false">-(ROUND('2 · Assumptions'!$D$33+('2 · Assumptions'!$E$33-'2 · Assumptions'!$D$33)*0.333333333333333,0))*'2 · Assumptions'!$F$33</f>
        <v>-11000</v>
      </c>
      <c r="T19" s="48" t="n">
        <f aca="false">-(ROUND('2 · Assumptions'!$D$33+('2 · Assumptions'!$E$33-'2 · Assumptions'!$D$33)*0.416666666666667,0))*'2 · Assumptions'!$F$33</f>
        <v>-11000</v>
      </c>
      <c r="U19" s="48" t="n">
        <f aca="false">-(ROUND('2 · Assumptions'!$D$33+('2 · Assumptions'!$E$33-'2 · Assumptions'!$D$33)*0.5,0))*'2 · Assumptions'!$F$33</f>
        <v>-11000</v>
      </c>
      <c r="V19" s="48" t="n">
        <f aca="false">-(ROUND('2 · Assumptions'!$D$33+('2 · Assumptions'!$E$33-'2 · Assumptions'!$D$33)*0.583333333333333,0))*'2 · Assumptions'!$F$33</f>
        <v>-11000</v>
      </c>
      <c r="W19" s="48" t="n">
        <f aca="false">-(ROUND('2 · Assumptions'!$D$33+('2 · Assumptions'!$E$33-'2 · Assumptions'!$D$33)*0.666666666666667,0))*'2 · Assumptions'!$F$33</f>
        <v>-11000</v>
      </c>
      <c r="X19" s="48" t="n">
        <f aca="false">-(ROUND('2 · Assumptions'!$D$33+('2 · Assumptions'!$E$33-'2 · Assumptions'!$D$33)*0.75,0))*'2 · Assumptions'!$F$33</f>
        <v>-16500</v>
      </c>
      <c r="Y19" s="48" t="n">
        <f aca="false">-(ROUND('2 · Assumptions'!$D$33+('2 · Assumptions'!$E$33-'2 · Assumptions'!$D$33)*0.833333333333333,0))*'2 · Assumptions'!$F$33</f>
        <v>-16500</v>
      </c>
      <c r="Z19" s="48" t="n">
        <f aca="false">-(ROUND('2 · Assumptions'!$D$33+('2 · Assumptions'!$E$33-'2 · Assumptions'!$D$33)*0.916666666666667,0))*'2 · Assumptions'!$F$33</f>
        <v>-16500</v>
      </c>
      <c r="AA19" s="48" t="n">
        <f aca="false">-(ROUND('2 · Assumptions'!$D$33+('2 · Assumptions'!$E$33-'2 · Assumptions'!$D$33)*1,0))*'2 · Assumptions'!$F$33</f>
        <v>-16500</v>
      </c>
    </row>
    <row r="20" customFormat="false" ht="15" hidden="false" customHeight="false" outlineLevel="0" collapsed="false">
      <c r="B20" s="15" t="s">
        <v>208</v>
      </c>
      <c r="C20" s="48" t="n">
        <f aca="false">SUM(D20:AA20)</f>
        <v>-175000</v>
      </c>
      <c r="D20" s="48" t="n">
        <f aca="false">-('2 · Assumptions'!$C$34)*'2 · Assumptions'!$F$34</f>
        <v>-0</v>
      </c>
      <c r="E20" s="48" t="n">
        <f aca="false">-(ROUND('2 · Assumptions'!$C$34+('2 · Assumptions'!$D$34-'2 · Assumptions'!$C$34)*0.0909090909090909,0))*'2 · Assumptions'!$F$34</f>
        <v>-0</v>
      </c>
      <c r="F20" s="48" t="n">
        <f aca="false">-(ROUND('2 · Assumptions'!$C$34+('2 · Assumptions'!$D$34-'2 · Assumptions'!$C$34)*0.181818181818182,0))*'2 · Assumptions'!$F$34</f>
        <v>-0</v>
      </c>
      <c r="G20" s="48" t="n">
        <f aca="false">-(ROUND('2 · Assumptions'!$C$34+('2 · Assumptions'!$D$34-'2 · Assumptions'!$C$34)*0.272727272727273,0))*'2 · Assumptions'!$F$34</f>
        <v>-0</v>
      </c>
      <c r="H20" s="48" t="n">
        <f aca="false">-(ROUND('2 · Assumptions'!$C$34+('2 · Assumptions'!$D$34-'2 · Assumptions'!$C$34)*0.363636363636364,0))*'2 · Assumptions'!$F$34</f>
        <v>-0</v>
      </c>
      <c r="I20" s="48" t="n">
        <f aca="false">-(ROUND('2 · Assumptions'!$C$34+('2 · Assumptions'!$D$34-'2 · Assumptions'!$C$34)*0.454545454545455,0))*'2 · Assumptions'!$F$34</f>
        <v>-0</v>
      </c>
      <c r="J20" s="48" t="n">
        <f aca="false">-(ROUND('2 · Assumptions'!$C$34+('2 · Assumptions'!$D$34-'2 · Assumptions'!$C$34)*0.545454545454545,0))*'2 · Assumptions'!$F$34</f>
        <v>-7000</v>
      </c>
      <c r="K20" s="48" t="n">
        <f aca="false">-(ROUND('2 · Assumptions'!$C$34+('2 · Assumptions'!$D$34-'2 · Assumptions'!$C$34)*0.636363636363636,0))*'2 · Assumptions'!$F$34</f>
        <v>-7000</v>
      </c>
      <c r="L20" s="48" t="n">
        <f aca="false">-(ROUND('2 · Assumptions'!$C$34+('2 · Assumptions'!$D$34-'2 · Assumptions'!$C$34)*0.727272727272727,0))*'2 · Assumptions'!$F$34</f>
        <v>-7000</v>
      </c>
      <c r="M20" s="48" t="n">
        <f aca="false">-(ROUND('2 · Assumptions'!$C$34+('2 · Assumptions'!$D$34-'2 · Assumptions'!$C$34)*0.818181818181818,0))*'2 · Assumptions'!$F$34</f>
        <v>-7000</v>
      </c>
      <c r="N20" s="48" t="n">
        <f aca="false">-(ROUND('2 · Assumptions'!$C$34+('2 · Assumptions'!$D$34-'2 · Assumptions'!$C$34)*0.909090909090909,0))*'2 · Assumptions'!$F$34</f>
        <v>-7000</v>
      </c>
      <c r="O20" s="48" t="n">
        <f aca="false">-(ROUND('2 · Assumptions'!$C$34+('2 · Assumptions'!$D$34-'2 · Assumptions'!$C$34)*1,0))*'2 · Assumptions'!$F$34</f>
        <v>-7000</v>
      </c>
      <c r="P20" s="48" t="n">
        <f aca="false">-(ROUND('2 · Assumptions'!$D$34+('2 · Assumptions'!$E$34-'2 · Assumptions'!$D$34)*0.0833333333333333,0))*'2 · Assumptions'!$F$34</f>
        <v>-7000</v>
      </c>
      <c r="Q20" s="48" t="n">
        <f aca="false">-(ROUND('2 · Assumptions'!$D$34+('2 · Assumptions'!$E$34-'2 · Assumptions'!$D$34)*0.166666666666667,0))*'2 · Assumptions'!$F$34</f>
        <v>-7000</v>
      </c>
      <c r="R20" s="48" t="n">
        <f aca="false">-(ROUND('2 · Assumptions'!$D$34+('2 · Assumptions'!$E$34-'2 · Assumptions'!$D$34)*0.25,0))*'2 · Assumptions'!$F$34</f>
        <v>-7000</v>
      </c>
      <c r="S20" s="48" t="n">
        <f aca="false">-(ROUND('2 · Assumptions'!$D$34+('2 · Assumptions'!$E$34-'2 · Assumptions'!$D$34)*0.333333333333333,0))*'2 · Assumptions'!$F$34</f>
        <v>-7000</v>
      </c>
      <c r="T20" s="48" t="n">
        <f aca="false">-(ROUND('2 · Assumptions'!$D$34+('2 · Assumptions'!$E$34-'2 · Assumptions'!$D$34)*0.416666666666667,0))*'2 · Assumptions'!$F$34</f>
        <v>-7000</v>
      </c>
      <c r="U20" s="48" t="n">
        <f aca="false">-(ROUND('2 · Assumptions'!$D$34+('2 · Assumptions'!$E$34-'2 · Assumptions'!$D$34)*0.5,0))*'2 · Assumptions'!$F$34</f>
        <v>-14000</v>
      </c>
      <c r="V20" s="48" t="n">
        <f aca="false">-(ROUND('2 · Assumptions'!$D$34+('2 · Assumptions'!$E$34-'2 · Assumptions'!$D$34)*0.583333333333333,0))*'2 · Assumptions'!$F$34</f>
        <v>-14000</v>
      </c>
      <c r="W20" s="48" t="n">
        <f aca="false">-(ROUND('2 · Assumptions'!$D$34+('2 · Assumptions'!$E$34-'2 · Assumptions'!$D$34)*0.666666666666667,0))*'2 · Assumptions'!$F$34</f>
        <v>-14000</v>
      </c>
      <c r="X20" s="48" t="n">
        <f aca="false">-(ROUND('2 · Assumptions'!$D$34+('2 · Assumptions'!$E$34-'2 · Assumptions'!$D$34)*0.75,0))*'2 · Assumptions'!$F$34</f>
        <v>-14000</v>
      </c>
      <c r="Y20" s="48" t="n">
        <f aca="false">-(ROUND('2 · Assumptions'!$D$34+('2 · Assumptions'!$E$34-'2 · Assumptions'!$D$34)*0.833333333333333,0))*'2 · Assumptions'!$F$34</f>
        <v>-14000</v>
      </c>
      <c r="Z20" s="48" t="n">
        <f aca="false">-(ROUND('2 · Assumptions'!$D$34+('2 · Assumptions'!$E$34-'2 · Assumptions'!$D$34)*0.916666666666667,0))*'2 · Assumptions'!$F$34</f>
        <v>-14000</v>
      </c>
      <c r="AA20" s="48" t="n">
        <f aca="false">-(ROUND('2 · Assumptions'!$D$34+('2 · Assumptions'!$E$34-'2 · Assumptions'!$D$34)*1,0))*'2 · Assumptions'!$F$34</f>
        <v>-14000</v>
      </c>
    </row>
    <row r="21" customFormat="false" ht="15" hidden="false" customHeight="false" outlineLevel="0" collapsed="false">
      <c r="B21" s="38" t="s">
        <v>209</v>
      </c>
      <c r="C21" s="41" t="n">
        <f aca="false">SUM(D21:AA21)</f>
        <v>-1431000</v>
      </c>
      <c r="D21" s="41" t="n">
        <f aca="false">SUM(D17:D20)</f>
        <v>-15000</v>
      </c>
      <c r="E21" s="41" t="n">
        <f aca="false">SUM(E17:E20)</f>
        <v>-15000</v>
      </c>
      <c r="F21" s="41" t="n">
        <f aca="false">SUM(F17:F20)</f>
        <v>-24000</v>
      </c>
      <c r="G21" s="41" t="n">
        <f aca="false">SUM(G17:G20)</f>
        <v>-24000</v>
      </c>
      <c r="H21" s="41" t="n">
        <f aca="false">SUM(H17:H20)</f>
        <v>-24000</v>
      </c>
      <c r="I21" s="41" t="n">
        <f aca="false">SUM(I17:I20)</f>
        <v>-24000</v>
      </c>
      <c r="J21" s="41" t="n">
        <f aca="false">SUM(J17:J20)</f>
        <v>-45500</v>
      </c>
      <c r="K21" s="41" t="n">
        <f aca="false">SUM(K17:K20)</f>
        <v>-45500</v>
      </c>
      <c r="L21" s="41" t="n">
        <f aca="false">SUM(L17:L20)</f>
        <v>-45500</v>
      </c>
      <c r="M21" s="41" t="n">
        <f aca="false">SUM(M17:M20)</f>
        <v>-45500</v>
      </c>
      <c r="N21" s="41" t="n">
        <f aca="false">SUM(N17:N20)</f>
        <v>-54500</v>
      </c>
      <c r="O21" s="41" t="n">
        <f aca="false">SUM(O17:O20)</f>
        <v>-54500</v>
      </c>
      <c r="P21" s="41" t="n">
        <f aca="false">SUM(P17:P20)</f>
        <v>-54500</v>
      </c>
      <c r="Q21" s="41" t="n">
        <f aca="false">SUM(Q17:Q20)</f>
        <v>-63500</v>
      </c>
      <c r="R21" s="41" t="n">
        <f aca="false">SUM(R17:R20)</f>
        <v>-69000</v>
      </c>
      <c r="S21" s="41" t="n">
        <f aca="false">SUM(S17:S20)</f>
        <v>-69000</v>
      </c>
      <c r="T21" s="41" t="n">
        <f aca="false">SUM(T17:T20)</f>
        <v>-78000</v>
      </c>
      <c r="U21" s="41" t="n">
        <f aca="false">SUM(U17:U20)</f>
        <v>-85000</v>
      </c>
      <c r="V21" s="41" t="n">
        <f aca="false">SUM(V17:V20)</f>
        <v>-85000</v>
      </c>
      <c r="W21" s="41" t="n">
        <f aca="false">SUM(W17:W20)</f>
        <v>-94000</v>
      </c>
      <c r="X21" s="41" t="n">
        <f aca="false">SUM(X17:X20)</f>
        <v>-99500</v>
      </c>
      <c r="Y21" s="41" t="n">
        <f aca="false">SUM(Y17:Y20)</f>
        <v>-99500</v>
      </c>
      <c r="Z21" s="41" t="n">
        <f aca="false">SUM(Z17:Z20)</f>
        <v>-108500</v>
      </c>
      <c r="AA21" s="41" t="n">
        <f aca="false">SUM(AA17:AA20)</f>
        <v>-108500</v>
      </c>
    </row>
    <row r="23" customFormat="false" ht="15" hidden="false" customHeight="false" outlineLevel="0" collapsed="false">
      <c r="B23" s="15" t="s">
        <v>210</v>
      </c>
      <c r="C23" s="48" t="n">
        <f aca="false">SUM(D23:AA23)</f>
        <v>-507500</v>
      </c>
      <c r="D23" s="48" t="n">
        <f aca="false">-('2 · Assumptions'!$C$45)</f>
        <v>-3000</v>
      </c>
      <c r="E23" s="48" t="n">
        <f aca="false">-('2 · Assumptions'!$C$45+('2 · Assumptions'!$C$46-'2 · Assumptions'!$C$45)*0.2)</f>
        <v>-4000</v>
      </c>
      <c r="F23" s="48" t="n">
        <f aca="false">-('2 · Assumptions'!$C$45+('2 · Assumptions'!$C$46-'2 · Assumptions'!$C$45)*0.4)</f>
        <v>-5000</v>
      </c>
      <c r="G23" s="48" t="n">
        <f aca="false">-('2 · Assumptions'!$C$45+('2 · Assumptions'!$C$46-'2 · Assumptions'!$C$45)*0.6)</f>
        <v>-6000</v>
      </c>
      <c r="H23" s="48" t="n">
        <f aca="false">-('2 · Assumptions'!$C$45+('2 · Assumptions'!$C$46-'2 · Assumptions'!$C$45)*0.8)</f>
        <v>-7000</v>
      </c>
      <c r="I23" s="48" t="n">
        <f aca="false">-('2 · Assumptions'!$C$45+('2 · Assumptions'!$C$46-'2 · Assumptions'!$C$45)*1)</f>
        <v>-8000</v>
      </c>
      <c r="J23" s="48" t="n">
        <f aca="false">-('2 · Assumptions'!$C$46+('2 · Assumptions'!$C$47-'2 · Assumptions'!$C$46)*0.166666666666667)</f>
        <v>-9666.66666666667</v>
      </c>
      <c r="K23" s="48" t="n">
        <f aca="false">-('2 · Assumptions'!$C$46+('2 · Assumptions'!$C$47-'2 · Assumptions'!$C$46)*0.333333333333333)</f>
        <v>-11333.3333333333</v>
      </c>
      <c r="L23" s="48" t="n">
        <f aca="false">-('2 · Assumptions'!$C$46+('2 · Assumptions'!$C$47-'2 · Assumptions'!$C$46)*0.5)</f>
        <v>-13000</v>
      </c>
      <c r="M23" s="48" t="n">
        <f aca="false">-('2 · Assumptions'!$C$46+('2 · Assumptions'!$C$47-'2 · Assumptions'!$C$46)*0.666666666666667)</f>
        <v>-14666.6666666667</v>
      </c>
      <c r="N23" s="48" t="n">
        <f aca="false">-('2 · Assumptions'!$C$46+('2 · Assumptions'!$C$47-'2 · Assumptions'!$C$46)*0.833333333333333)</f>
        <v>-16333.3333333333</v>
      </c>
      <c r="O23" s="48" t="n">
        <f aca="false">-('2 · Assumptions'!$C$46+('2 · Assumptions'!$C$47-'2 · Assumptions'!$C$46)*1)</f>
        <v>-18000</v>
      </c>
      <c r="P23" s="48" t="n">
        <f aca="false">-('2 · Assumptions'!$C$47+('2 · Assumptions'!$C$48-'2 · Assumptions'!$C$47)*0.0833333333333333)</f>
        <v>-20250</v>
      </c>
      <c r="Q23" s="48" t="n">
        <f aca="false">-('2 · Assumptions'!$C$47+('2 · Assumptions'!$C$48-'2 · Assumptions'!$C$47)*0.166666666666667)</f>
        <v>-22500</v>
      </c>
      <c r="R23" s="48" t="n">
        <f aca="false">-('2 · Assumptions'!$C$47+('2 · Assumptions'!$C$48-'2 · Assumptions'!$C$47)*0.25)</f>
        <v>-24750</v>
      </c>
      <c r="S23" s="48" t="n">
        <f aca="false">-('2 · Assumptions'!$C$47+('2 · Assumptions'!$C$48-'2 · Assumptions'!$C$47)*0.333333333333333)</f>
        <v>-27000</v>
      </c>
      <c r="T23" s="48" t="n">
        <f aca="false">-('2 · Assumptions'!$C$47+('2 · Assumptions'!$C$48-'2 · Assumptions'!$C$47)*0.416666666666667)</f>
        <v>-29250</v>
      </c>
      <c r="U23" s="48" t="n">
        <f aca="false">-('2 · Assumptions'!$C$47+('2 · Assumptions'!$C$48-'2 · Assumptions'!$C$47)*0.5)</f>
        <v>-31500</v>
      </c>
      <c r="V23" s="48" t="n">
        <f aca="false">-('2 · Assumptions'!$C$47+('2 · Assumptions'!$C$48-'2 · Assumptions'!$C$47)*0.583333333333333)</f>
        <v>-33750</v>
      </c>
      <c r="W23" s="48" t="n">
        <f aca="false">-('2 · Assumptions'!$C$47+('2 · Assumptions'!$C$48-'2 · Assumptions'!$C$47)*0.666666666666667)</f>
        <v>-36000</v>
      </c>
      <c r="X23" s="48" t="n">
        <f aca="false">-('2 · Assumptions'!$C$47+('2 · Assumptions'!$C$48-'2 · Assumptions'!$C$47)*0.75)</f>
        <v>-38250</v>
      </c>
      <c r="Y23" s="48" t="n">
        <f aca="false">-('2 · Assumptions'!$C$47+('2 · Assumptions'!$C$48-'2 · Assumptions'!$C$47)*0.833333333333333)</f>
        <v>-40500</v>
      </c>
      <c r="Z23" s="48" t="n">
        <f aca="false">-('2 · Assumptions'!$C$47+('2 · Assumptions'!$C$48-'2 · Assumptions'!$C$47)*0.916666666666667)</f>
        <v>-42750</v>
      </c>
      <c r="AA23" s="48" t="n">
        <f aca="false">-('2 · Assumptions'!$C$47+('2 · Assumptions'!$C$48-'2 · Assumptions'!$C$47)*1)</f>
        <v>-45000</v>
      </c>
    </row>
    <row r="25" customFormat="false" ht="15" hidden="false" customHeight="false" outlineLevel="0" collapsed="false">
      <c r="B25" s="15" t="s">
        <v>211</v>
      </c>
      <c r="C25" s="48" t="n">
        <f aca="false">SUM(D25:AA25)</f>
        <v>-60000</v>
      </c>
      <c r="D25" s="48" t="n">
        <f aca="false">-'2 · Assumptions'!$C$37</f>
        <v>-2500</v>
      </c>
      <c r="E25" s="48" t="n">
        <f aca="false">-'2 · Assumptions'!$C$37</f>
        <v>-2500</v>
      </c>
      <c r="F25" s="48" t="n">
        <f aca="false">-'2 · Assumptions'!$C$37</f>
        <v>-2500</v>
      </c>
      <c r="G25" s="48" t="n">
        <f aca="false">-'2 · Assumptions'!$C$37</f>
        <v>-2500</v>
      </c>
      <c r="H25" s="48" t="n">
        <f aca="false">-'2 · Assumptions'!$C$37</f>
        <v>-2500</v>
      </c>
      <c r="I25" s="48" t="n">
        <f aca="false">-'2 · Assumptions'!$C$37</f>
        <v>-2500</v>
      </c>
      <c r="J25" s="48" t="n">
        <f aca="false">-'2 · Assumptions'!$C$37</f>
        <v>-2500</v>
      </c>
      <c r="K25" s="48" t="n">
        <f aca="false">-'2 · Assumptions'!$C$37</f>
        <v>-2500</v>
      </c>
      <c r="L25" s="48" t="n">
        <f aca="false">-'2 · Assumptions'!$C$37</f>
        <v>-2500</v>
      </c>
      <c r="M25" s="48" t="n">
        <f aca="false">-'2 · Assumptions'!$C$37</f>
        <v>-2500</v>
      </c>
      <c r="N25" s="48" t="n">
        <f aca="false">-'2 · Assumptions'!$C$37</f>
        <v>-2500</v>
      </c>
      <c r="O25" s="48" t="n">
        <f aca="false">-'2 · Assumptions'!$C$37</f>
        <v>-2500</v>
      </c>
      <c r="P25" s="48" t="n">
        <f aca="false">-'2 · Assumptions'!$C$37</f>
        <v>-2500</v>
      </c>
      <c r="Q25" s="48" t="n">
        <f aca="false">-'2 · Assumptions'!$C$37</f>
        <v>-2500</v>
      </c>
      <c r="R25" s="48" t="n">
        <f aca="false">-'2 · Assumptions'!$C$37</f>
        <v>-2500</v>
      </c>
      <c r="S25" s="48" t="n">
        <f aca="false">-'2 · Assumptions'!$C$37</f>
        <v>-2500</v>
      </c>
      <c r="T25" s="48" t="n">
        <f aca="false">-'2 · Assumptions'!$C$37</f>
        <v>-2500</v>
      </c>
      <c r="U25" s="48" t="n">
        <f aca="false">-'2 · Assumptions'!$C$37</f>
        <v>-2500</v>
      </c>
      <c r="V25" s="48" t="n">
        <f aca="false">-'2 · Assumptions'!$C$37</f>
        <v>-2500</v>
      </c>
      <c r="W25" s="48" t="n">
        <f aca="false">-'2 · Assumptions'!$C$37</f>
        <v>-2500</v>
      </c>
      <c r="X25" s="48" t="n">
        <f aca="false">-'2 · Assumptions'!$C$37</f>
        <v>-2500</v>
      </c>
      <c r="Y25" s="48" t="n">
        <f aca="false">-'2 · Assumptions'!$C$37</f>
        <v>-2500</v>
      </c>
      <c r="Z25" s="48" t="n">
        <f aca="false">-'2 · Assumptions'!$C$37</f>
        <v>-2500</v>
      </c>
      <c r="AA25" s="48" t="n">
        <f aca="false">-'2 · Assumptions'!$C$37</f>
        <v>-2500</v>
      </c>
    </row>
    <row r="26" customFormat="false" ht="15" hidden="false" customHeight="false" outlineLevel="0" collapsed="false">
      <c r="B26" s="15" t="s">
        <v>212</v>
      </c>
      <c r="C26" s="48" t="n">
        <f aca="false">SUM(D26:AA26)</f>
        <v>-36000</v>
      </c>
      <c r="D26" s="48" t="n">
        <f aca="false">-'2 · Assumptions'!$C$38</f>
        <v>-1500</v>
      </c>
      <c r="E26" s="48" t="n">
        <f aca="false">-'2 · Assumptions'!$C$38</f>
        <v>-1500</v>
      </c>
      <c r="F26" s="48" t="n">
        <f aca="false">-'2 · Assumptions'!$C$38</f>
        <v>-1500</v>
      </c>
      <c r="G26" s="48" t="n">
        <f aca="false">-'2 · Assumptions'!$C$38</f>
        <v>-1500</v>
      </c>
      <c r="H26" s="48" t="n">
        <f aca="false">-'2 · Assumptions'!$C$38</f>
        <v>-1500</v>
      </c>
      <c r="I26" s="48" t="n">
        <f aca="false">-'2 · Assumptions'!$C$38</f>
        <v>-1500</v>
      </c>
      <c r="J26" s="48" t="n">
        <f aca="false">-'2 · Assumptions'!$C$38</f>
        <v>-1500</v>
      </c>
      <c r="K26" s="48" t="n">
        <f aca="false">-'2 · Assumptions'!$C$38</f>
        <v>-1500</v>
      </c>
      <c r="L26" s="48" t="n">
        <f aca="false">-'2 · Assumptions'!$C$38</f>
        <v>-1500</v>
      </c>
      <c r="M26" s="48" t="n">
        <f aca="false">-'2 · Assumptions'!$C$38</f>
        <v>-1500</v>
      </c>
      <c r="N26" s="48" t="n">
        <f aca="false">-'2 · Assumptions'!$C$38</f>
        <v>-1500</v>
      </c>
      <c r="O26" s="48" t="n">
        <f aca="false">-'2 · Assumptions'!$C$38</f>
        <v>-1500</v>
      </c>
      <c r="P26" s="48" t="n">
        <f aca="false">-'2 · Assumptions'!$C$38</f>
        <v>-1500</v>
      </c>
      <c r="Q26" s="48" t="n">
        <f aca="false">-'2 · Assumptions'!$C$38</f>
        <v>-1500</v>
      </c>
      <c r="R26" s="48" t="n">
        <f aca="false">-'2 · Assumptions'!$C$38</f>
        <v>-1500</v>
      </c>
      <c r="S26" s="48" t="n">
        <f aca="false">-'2 · Assumptions'!$C$38</f>
        <v>-1500</v>
      </c>
      <c r="T26" s="48" t="n">
        <f aca="false">-'2 · Assumptions'!$C$38</f>
        <v>-1500</v>
      </c>
      <c r="U26" s="48" t="n">
        <f aca="false">-'2 · Assumptions'!$C$38</f>
        <v>-1500</v>
      </c>
      <c r="V26" s="48" t="n">
        <f aca="false">-'2 · Assumptions'!$C$38</f>
        <v>-1500</v>
      </c>
      <c r="W26" s="48" t="n">
        <f aca="false">-'2 · Assumptions'!$C$38</f>
        <v>-1500</v>
      </c>
      <c r="X26" s="48" t="n">
        <f aca="false">-'2 · Assumptions'!$C$38</f>
        <v>-1500</v>
      </c>
      <c r="Y26" s="48" t="n">
        <f aca="false">-'2 · Assumptions'!$C$38</f>
        <v>-1500</v>
      </c>
      <c r="Z26" s="48" t="n">
        <f aca="false">-'2 · Assumptions'!$C$38</f>
        <v>-1500</v>
      </c>
      <c r="AA26" s="48" t="n">
        <f aca="false">-'2 · Assumptions'!$C$38</f>
        <v>-1500</v>
      </c>
    </row>
    <row r="27" customFormat="false" ht="15" hidden="false" customHeight="false" outlineLevel="0" collapsed="false">
      <c r="B27" s="15" t="s">
        <v>213</v>
      </c>
      <c r="C27" s="48" t="n">
        <f aca="false">SUM(D27:AA27)</f>
        <v>-19200</v>
      </c>
      <c r="D27" s="48" t="n">
        <f aca="false">-'2 · Assumptions'!$C$39</f>
        <v>-800</v>
      </c>
      <c r="E27" s="48" t="n">
        <f aca="false">-'2 · Assumptions'!$C$39</f>
        <v>-800</v>
      </c>
      <c r="F27" s="48" t="n">
        <f aca="false">-'2 · Assumptions'!$C$39</f>
        <v>-800</v>
      </c>
      <c r="G27" s="48" t="n">
        <f aca="false">-'2 · Assumptions'!$C$39</f>
        <v>-800</v>
      </c>
      <c r="H27" s="48" t="n">
        <f aca="false">-'2 · Assumptions'!$C$39</f>
        <v>-800</v>
      </c>
      <c r="I27" s="48" t="n">
        <f aca="false">-'2 · Assumptions'!$C$39</f>
        <v>-800</v>
      </c>
      <c r="J27" s="48" t="n">
        <f aca="false">-'2 · Assumptions'!$C$39</f>
        <v>-800</v>
      </c>
      <c r="K27" s="48" t="n">
        <f aca="false">-'2 · Assumptions'!$C$39</f>
        <v>-800</v>
      </c>
      <c r="L27" s="48" t="n">
        <f aca="false">-'2 · Assumptions'!$C$39</f>
        <v>-800</v>
      </c>
      <c r="M27" s="48" t="n">
        <f aca="false">-'2 · Assumptions'!$C$39</f>
        <v>-800</v>
      </c>
      <c r="N27" s="48" t="n">
        <f aca="false">-'2 · Assumptions'!$C$39</f>
        <v>-800</v>
      </c>
      <c r="O27" s="48" t="n">
        <f aca="false">-'2 · Assumptions'!$C$39</f>
        <v>-800</v>
      </c>
      <c r="P27" s="48" t="n">
        <f aca="false">-'2 · Assumptions'!$C$39</f>
        <v>-800</v>
      </c>
      <c r="Q27" s="48" t="n">
        <f aca="false">-'2 · Assumptions'!$C$39</f>
        <v>-800</v>
      </c>
      <c r="R27" s="48" t="n">
        <f aca="false">-'2 · Assumptions'!$C$39</f>
        <v>-800</v>
      </c>
      <c r="S27" s="48" t="n">
        <f aca="false">-'2 · Assumptions'!$C$39</f>
        <v>-800</v>
      </c>
      <c r="T27" s="48" t="n">
        <f aca="false">-'2 · Assumptions'!$C$39</f>
        <v>-800</v>
      </c>
      <c r="U27" s="48" t="n">
        <f aca="false">-'2 · Assumptions'!$C$39</f>
        <v>-800</v>
      </c>
      <c r="V27" s="48" t="n">
        <f aca="false">-'2 · Assumptions'!$C$39</f>
        <v>-800</v>
      </c>
      <c r="W27" s="48" t="n">
        <f aca="false">-'2 · Assumptions'!$C$39</f>
        <v>-800</v>
      </c>
      <c r="X27" s="48" t="n">
        <f aca="false">-'2 · Assumptions'!$C$39</f>
        <v>-800</v>
      </c>
      <c r="Y27" s="48" t="n">
        <f aca="false">-'2 · Assumptions'!$C$39</f>
        <v>-800</v>
      </c>
      <c r="Z27" s="48" t="n">
        <f aca="false">-'2 · Assumptions'!$C$39</f>
        <v>-800</v>
      </c>
      <c r="AA27" s="48" t="n">
        <f aca="false">-'2 · Assumptions'!$C$39</f>
        <v>-800</v>
      </c>
    </row>
    <row r="28" customFormat="false" ht="15" hidden="false" customHeight="false" outlineLevel="0" collapsed="false">
      <c r="B28" s="15" t="s">
        <v>214</v>
      </c>
      <c r="C28" s="48" t="n">
        <f aca="false">SUM(D28:AA28)</f>
        <v>-28800</v>
      </c>
      <c r="D28" s="48" t="n">
        <f aca="false">-'2 · Assumptions'!$C$42</f>
        <v>-1200</v>
      </c>
      <c r="E28" s="48" t="n">
        <f aca="false">-'2 · Assumptions'!$C$42</f>
        <v>-1200</v>
      </c>
      <c r="F28" s="48" t="n">
        <f aca="false">-'2 · Assumptions'!$C$42</f>
        <v>-1200</v>
      </c>
      <c r="G28" s="48" t="n">
        <f aca="false">-'2 · Assumptions'!$C$42</f>
        <v>-1200</v>
      </c>
      <c r="H28" s="48" t="n">
        <f aca="false">-'2 · Assumptions'!$C$42</f>
        <v>-1200</v>
      </c>
      <c r="I28" s="48" t="n">
        <f aca="false">-'2 · Assumptions'!$C$42</f>
        <v>-1200</v>
      </c>
      <c r="J28" s="48" t="n">
        <f aca="false">-'2 · Assumptions'!$C$42</f>
        <v>-1200</v>
      </c>
      <c r="K28" s="48" t="n">
        <f aca="false">-'2 · Assumptions'!$C$42</f>
        <v>-1200</v>
      </c>
      <c r="L28" s="48" t="n">
        <f aca="false">-'2 · Assumptions'!$C$42</f>
        <v>-1200</v>
      </c>
      <c r="M28" s="48" t="n">
        <f aca="false">-'2 · Assumptions'!$C$42</f>
        <v>-1200</v>
      </c>
      <c r="N28" s="48" t="n">
        <f aca="false">-'2 · Assumptions'!$C$42</f>
        <v>-1200</v>
      </c>
      <c r="O28" s="48" t="n">
        <f aca="false">-'2 · Assumptions'!$C$42</f>
        <v>-1200</v>
      </c>
      <c r="P28" s="48" t="n">
        <f aca="false">-'2 · Assumptions'!$C$42</f>
        <v>-1200</v>
      </c>
      <c r="Q28" s="48" t="n">
        <f aca="false">-'2 · Assumptions'!$C$42</f>
        <v>-1200</v>
      </c>
      <c r="R28" s="48" t="n">
        <f aca="false">-'2 · Assumptions'!$C$42</f>
        <v>-1200</v>
      </c>
      <c r="S28" s="48" t="n">
        <f aca="false">-'2 · Assumptions'!$C$42</f>
        <v>-1200</v>
      </c>
      <c r="T28" s="48" t="n">
        <f aca="false">-'2 · Assumptions'!$C$42</f>
        <v>-1200</v>
      </c>
      <c r="U28" s="48" t="n">
        <f aca="false">-'2 · Assumptions'!$C$42</f>
        <v>-1200</v>
      </c>
      <c r="V28" s="48" t="n">
        <f aca="false">-'2 · Assumptions'!$C$42</f>
        <v>-1200</v>
      </c>
      <c r="W28" s="48" t="n">
        <f aca="false">-'2 · Assumptions'!$C$42</f>
        <v>-1200</v>
      </c>
      <c r="X28" s="48" t="n">
        <f aca="false">-'2 · Assumptions'!$C$42</f>
        <v>-1200</v>
      </c>
      <c r="Y28" s="48" t="n">
        <f aca="false">-'2 · Assumptions'!$C$42</f>
        <v>-1200</v>
      </c>
      <c r="Z28" s="48" t="n">
        <f aca="false">-'2 · Assumptions'!$C$42</f>
        <v>-1200</v>
      </c>
      <c r="AA28" s="48" t="n">
        <f aca="false">-'2 · Assumptions'!$C$42</f>
        <v>-1200</v>
      </c>
    </row>
    <row r="29" customFormat="false" ht="15" hidden="false" customHeight="false" outlineLevel="0" collapsed="false">
      <c r="B29" s="38" t="s">
        <v>215</v>
      </c>
      <c r="C29" s="41" t="n">
        <f aca="false">SUM(D29:AA29)</f>
        <v>-144000</v>
      </c>
      <c r="D29" s="41" t="n">
        <f aca="false">SUM(D25:D28)</f>
        <v>-6000</v>
      </c>
      <c r="E29" s="41" t="n">
        <f aca="false">SUM(E25:E28)</f>
        <v>-6000</v>
      </c>
      <c r="F29" s="41" t="n">
        <f aca="false">SUM(F25:F28)</f>
        <v>-6000</v>
      </c>
      <c r="G29" s="41" t="n">
        <f aca="false">SUM(G25:G28)</f>
        <v>-6000</v>
      </c>
      <c r="H29" s="41" t="n">
        <f aca="false">SUM(H25:H28)</f>
        <v>-6000</v>
      </c>
      <c r="I29" s="41" t="n">
        <f aca="false">SUM(I25:I28)</f>
        <v>-6000</v>
      </c>
      <c r="J29" s="41" t="n">
        <f aca="false">SUM(J25:J28)</f>
        <v>-6000</v>
      </c>
      <c r="K29" s="41" t="n">
        <f aca="false">SUM(K25:K28)</f>
        <v>-6000</v>
      </c>
      <c r="L29" s="41" t="n">
        <f aca="false">SUM(L25:L28)</f>
        <v>-6000</v>
      </c>
      <c r="M29" s="41" t="n">
        <f aca="false">SUM(M25:M28)</f>
        <v>-6000</v>
      </c>
      <c r="N29" s="41" t="n">
        <f aca="false">SUM(N25:N28)</f>
        <v>-6000</v>
      </c>
      <c r="O29" s="41" t="n">
        <f aca="false">SUM(O25:O28)</f>
        <v>-6000</v>
      </c>
      <c r="P29" s="41" t="n">
        <f aca="false">SUM(P25:P28)</f>
        <v>-6000</v>
      </c>
      <c r="Q29" s="41" t="n">
        <f aca="false">SUM(Q25:Q28)</f>
        <v>-6000</v>
      </c>
      <c r="R29" s="41" t="n">
        <f aca="false">SUM(R25:R28)</f>
        <v>-6000</v>
      </c>
      <c r="S29" s="41" t="n">
        <f aca="false">SUM(S25:S28)</f>
        <v>-6000</v>
      </c>
      <c r="T29" s="41" t="n">
        <f aca="false">SUM(T25:T28)</f>
        <v>-6000</v>
      </c>
      <c r="U29" s="41" t="n">
        <f aca="false">SUM(U25:U28)</f>
        <v>-6000</v>
      </c>
      <c r="V29" s="41" t="n">
        <f aca="false">SUM(V25:V28)</f>
        <v>-6000</v>
      </c>
      <c r="W29" s="41" t="n">
        <f aca="false">SUM(W25:W28)</f>
        <v>-6000</v>
      </c>
      <c r="X29" s="41" t="n">
        <f aca="false">SUM(X25:X28)</f>
        <v>-6000</v>
      </c>
      <c r="Y29" s="41" t="n">
        <f aca="false">SUM(Y25:Y28)</f>
        <v>-6000</v>
      </c>
      <c r="Z29" s="41" t="n">
        <f aca="false">SUM(Z25:Z28)</f>
        <v>-6000</v>
      </c>
      <c r="AA29" s="41" t="n">
        <f aca="false">SUM(AA25:AA28)</f>
        <v>-6000</v>
      </c>
    </row>
    <row r="31" customFormat="false" ht="15" hidden="false" customHeight="false" outlineLevel="0" collapsed="false">
      <c r="B31" s="38" t="s">
        <v>216</v>
      </c>
      <c r="C31" s="49" t="n">
        <f aca="false">SUM(D31:AA31)</f>
        <v>-2082500</v>
      </c>
      <c r="D31" s="49" t="n">
        <f aca="false">D21+D23+D29</f>
        <v>-24000</v>
      </c>
      <c r="E31" s="49" t="n">
        <f aca="false">E21+E23+E29</f>
        <v>-25000</v>
      </c>
      <c r="F31" s="49" t="n">
        <f aca="false">F21+F23+F29</f>
        <v>-35000</v>
      </c>
      <c r="G31" s="49" t="n">
        <f aca="false">G21+G23+G29</f>
        <v>-36000</v>
      </c>
      <c r="H31" s="49" t="n">
        <f aca="false">H21+H23+H29</f>
        <v>-37000</v>
      </c>
      <c r="I31" s="49" t="n">
        <f aca="false">I21+I23+I29</f>
        <v>-38000</v>
      </c>
      <c r="J31" s="49" t="n">
        <f aca="false">J21+J23+J29</f>
        <v>-61166.6666666667</v>
      </c>
      <c r="K31" s="49" t="n">
        <f aca="false">K21+K23+K29</f>
        <v>-62833.3333333333</v>
      </c>
      <c r="L31" s="49" t="n">
        <f aca="false">L21+L23+L29</f>
        <v>-64500</v>
      </c>
      <c r="M31" s="49" t="n">
        <f aca="false">M21+M23+M29</f>
        <v>-66166.6666666667</v>
      </c>
      <c r="N31" s="49" t="n">
        <f aca="false">N21+N23+N29</f>
        <v>-76833.3333333333</v>
      </c>
      <c r="O31" s="49" t="n">
        <f aca="false">O21+O23+O29</f>
        <v>-78500</v>
      </c>
      <c r="P31" s="49" t="n">
        <f aca="false">P21+P23+P29</f>
        <v>-80750</v>
      </c>
      <c r="Q31" s="49" t="n">
        <f aca="false">Q21+Q23+Q29</f>
        <v>-92000</v>
      </c>
      <c r="R31" s="49" t="n">
        <f aca="false">R21+R23+R29</f>
        <v>-99750</v>
      </c>
      <c r="S31" s="49" t="n">
        <f aca="false">S21+S23+S29</f>
        <v>-102000</v>
      </c>
      <c r="T31" s="49" t="n">
        <f aca="false">T21+T23+T29</f>
        <v>-113250</v>
      </c>
      <c r="U31" s="49" t="n">
        <f aca="false">U21+U23+U29</f>
        <v>-122500</v>
      </c>
      <c r="V31" s="49" t="n">
        <f aca="false">V21+V23+V29</f>
        <v>-124750</v>
      </c>
      <c r="W31" s="49" t="n">
        <f aca="false">W21+W23+W29</f>
        <v>-136000</v>
      </c>
      <c r="X31" s="49" t="n">
        <f aca="false">X21+X23+X29</f>
        <v>-143750</v>
      </c>
      <c r="Y31" s="49" t="n">
        <f aca="false">Y21+Y23+Y29</f>
        <v>-146000</v>
      </c>
      <c r="Z31" s="49" t="n">
        <f aca="false">Z21+Z23+Z29</f>
        <v>-157250</v>
      </c>
      <c r="AA31" s="49" t="n">
        <f aca="false">AA21+AA23+AA29</f>
        <v>-159500</v>
      </c>
    </row>
    <row r="33" customFormat="false" ht="15" hidden="false" customHeight="false" outlineLevel="0" collapsed="false">
      <c r="B33" s="38" t="s">
        <v>217</v>
      </c>
      <c r="C33" s="51" t="n">
        <f aca="false">SUM(D33:AA33)</f>
        <v>-575973.125</v>
      </c>
      <c r="D33" s="51" t="n">
        <f aca="false">D12+D31</f>
        <v>-23347.2</v>
      </c>
      <c r="E33" s="51" t="n">
        <f aca="false">E12+E31</f>
        <v>-23837.5552</v>
      </c>
      <c r="F33" s="51" t="n">
        <f aca="false">F12+F31</f>
        <v>-33236.0576</v>
      </c>
      <c r="G33" s="51" t="n">
        <f aca="false">G12+G31</f>
        <v>-33539.9424</v>
      </c>
      <c r="H33" s="51" t="n">
        <f aca="false">H12+H31</f>
        <v>-33746.4448</v>
      </c>
      <c r="I33" s="51" t="n">
        <f aca="false">I12+I31</f>
        <v>-33852.8</v>
      </c>
      <c r="J33" s="51" t="n">
        <f aca="false">J12+J31</f>
        <v>-52487.5416666667</v>
      </c>
      <c r="K33" s="51" t="n">
        <f aca="false">K12+K31</f>
        <v>-50436.3333333333</v>
      </c>
      <c r="L33" s="51" t="n">
        <f aca="false">L12+L31</f>
        <v>-47891.625</v>
      </c>
      <c r="M33" s="51" t="n">
        <f aca="false">M12+M31</f>
        <v>-44841.8666666667</v>
      </c>
      <c r="N33" s="51" t="n">
        <f aca="false">N12+N31</f>
        <v>-50275.5083333333</v>
      </c>
      <c r="O33" s="51" t="n">
        <f aca="false">O12+O31</f>
        <v>-46181</v>
      </c>
      <c r="P33" s="51" t="n">
        <f aca="false">P12+P31</f>
        <v>-39465.96875</v>
      </c>
      <c r="Q33" s="51" t="n">
        <f aca="false">Q12+Q31</f>
        <v>-40812.5</v>
      </c>
      <c r="R33" s="51" t="n">
        <f aca="false">R12+R31</f>
        <v>-37693.03125</v>
      </c>
      <c r="S33" s="51" t="n">
        <f aca="false">S12+S31</f>
        <v>-28080</v>
      </c>
      <c r="T33" s="51" t="n">
        <f aca="false">T12+T31</f>
        <v>-26445.84375</v>
      </c>
      <c r="U33" s="51" t="n">
        <f aca="false">U12+U31</f>
        <v>-21763</v>
      </c>
      <c r="V33" s="51" t="n">
        <f aca="false">V12+V31</f>
        <v>-9003.90624999999</v>
      </c>
      <c r="W33" s="51" t="n">
        <f aca="false">W12+W31</f>
        <v>-4141.00000000003</v>
      </c>
      <c r="X33" s="51" t="n">
        <f aca="false">X12+X31</f>
        <v>5353.28125</v>
      </c>
      <c r="Y33" s="51" t="n">
        <f aca="false">Y12+Y31</f>
        <v>21506.5</v>
      </c>
      <c r="Z33" s="51" t="n">
        <f aca="false">Z12+Z31</f>
        <v>29846.21875</v>
      </c>
      <c r="AA33" s="51" t="n">
        <f aca="false">AA12+AA31</f>
        <v>48400</v>
      </c>
    </row>
    <row r="34" customFormat="false" ht="15" hidden="false" customHeight="false" outlineLevel="0" collapsed="false">
      <c r="B34" s="13" t="s">
        <v>218</v>
      </c>
      <c r="D34" s="50" t="n">
        <f aca="false">IFERROR(D33/D8,0)</f>
        <v>-22.8894117647059</v>
      </c>
      <c r="E34" s="50" t="n">
        <f aca="false">IFERROR(E33/E8,0)</f>
        <v>-13.1240944326991</v>
      </c>
      <c r="F34" s="50" t="n">
        <f aca="false">IFERROR(F33/F8,0)</f>
        <v>-12.0588273539998</v>
      </c>
      <c r="G34" s="50" t="n">
        <f aca="false">IFERROR(G33/G8,0)</f>
        <v>-8.72563436563437</v>
      </c>
      <c r="H34" s="50" t="n">
        <f aca="false">IFERROR(H33/H8,0)</f>
        <v>-6.6381921757467</v>
      </c>
      <c r="I34" s="50" t="n">
        <f aca="false">IFERROR(I33/I8,0)</f>
        <v>-5.2241975308642</v>
      </c>
      <c r="J34" s="50" t="n">
        <f aca="false">IFERROR(J33/J8,0)</f>
        <v>-4.2332930066875</v>
      </c>
      <c r="K34" s="50" t="n">
        <f aca="false">IFERROR(K33/K8,0)</f>
        <v>-2.84790137398833</v>
      </c>
      <c r="L34" s="50" t="n">
        <f aca="false">IFERROR(L33/L8,0)</f>
        <v>-2.01850798166588</v>
      </c>
      <c r="M34" s="50" t="n">
        <f aca="false">IFERROR(M33/M8,0)</f>
        <v>-1.47196253501401</v>
      </c>
      <c r="N34" s="50" t="n">
        <f aca="false">IFERROR(N33/N8,0)</f>
        <v>-1.32514073849547</v>
      </c>
      <c r="O34" s="50" t="n">
        <f aca="false">IFERROR(O33/O8,0)</f>
        <v>-1.00023824994585</v>
      </c>
      <c r="P34" s="50" t="n">
        <f aca="false">IFERROR(P33/P8,0)</f>
        <v>-0.669173462196719</v>
      </c>
      <c r="Q34" s="50" t="n">
        <f aca="false">IFERROR(Q33/Q8,0)</f>
        <v>-0.558119658119658</v>
      </c>
      <c r="R34" s="50" t="n">
        <f aca="false">IFERROR(R33/R8,0)</f>
        <v>-0.425175808720113</v>
      </c>
      <c r="S34" s="50" t="n">
        <f aca="false">IFERROR(S33/S8,0)</f>
        <v>-0.265909090909091</v>
      </c>
      <c r="T34" s="50" t="n">
        <f aca="false">IFERROR(T33/T8,0)</f>
        <v>-0.213262721795075</v>
      </c>
      <c r="U34" s="50" t="n">
        <f aca="false">IFERROR(U33/U8,0)</f>
        <v>-0.151226460982559</v>
      </c>
      <c r="V34" s="50" t="n">
        <f aca="false">IFERROR(V33/V8,0)</f>
        <v>-0.0544531065438223</v>
      </c>
      <c r="W34" s="50" t="n">
        <f aca="false">IFERROR(W33/W8,0)</f>
        <v>-0.021983330678983</v>
      </c>
      <c r="X34" s="50" t="n">
        <f aca="false">IFERROR(X33/X8,0)</f>
        <v>0.0251322227357086</v>
      </c>
      <c r="Y34" s="50" t="n">
        <f aca="false">IFERROR(Y33/Y8,0)</f>
        <v>0.0898744227835935</v>
      </c>
      <c r="Z34" s="50" t="n">
        <f aca="false">IFERROR(Z33/Z8,0)</f>
        <v>0.111666356832773</v>
      </c>
      <c r="AA34" s="50" t="n">
        <f aca="false">IFERROR(AA33/AA8,0)</f>
        <v>0.162962962962963</v>
      </c>
    </row>
  </sheetData>
  <mergeCells count="4">
    <mergeCell ref="A1:AA1"/>
    <mergeCell ref="A2:AA2"/>
    <mergeCell ref="B6:AA6"/>
    <mergeCell ref="B15:AA15"/>
  </mergeCells>
  <printOptions headings="false" gridLines="false" gridLinesSet="true" horizontalCentered="false" verticalCentered="false"/>
  <pageMargins left="0.4" right="0.4" top="0.4" bottom="0.4" header="0.511811023622047" footer="0.511811023622047"/>
  <pageSetup paperSize="1" scale="100" fitToWidth="1" fitToHeight="0" pageOrder="downThenOver" orientation="landscape" blackAndWhite="false" draft="false" cellComments="non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AA2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3" ySplit="4" topLeftCell="D5" activePane="bottomRight" state="frozen"/>
      <selection pane="topLeft" activeCell="A1" activeCellId="0" sqref="A1"/>
      <selection pane="topRight" activeCell="D1" activeCellId="0" sqref="D1"/>
      <selection pane="bottomLeft" activeCell="A5" activeCellId="0" sqref="A5"/>
      <selection pane="bottomRight" activeCell="A1" activeCellId="0" sqref="A1"/>
    </sheetView>
  </sheetViews>
  <sheetFormatPr defaultColWidth="8.6796875" defaultRowHeight="15" customHeight="false" zeroHeight="false" outlineLevelRow="0" outlineLevelCol="0"/>
  <cols>
    <col collapsed="false" customWidth="true" hidden="false" outlineLevel="0" max="1" min="1" style="0" width="2"/>
    <col collapsed="false" customWidth="true" hidden="false" outlineLevel="0" max="2" min="2" style="0" width="34"/>
    <col collapsed="false" customWidth="true" hidden="false" outlineLevel="0" max="3" min="3" style="0" width="12"/>
    <col collapsed="false" customWidth="true" hidden="false" outlineLevel="0" max="27" min="4" style="0" width="11"/>
  </cols>
  <sheetData>
    <row r="1" customFormat="false" ht="31.5" hidden="false" customHeight="true" outlineLevel="0" collapsed="false">
      <c r="A1" s="1" t="s">
        <v>219</v>
      </c>
      <c r="B1" s="1"/>
      <c r="C1" s="1"/>
      <c r="D1" s="1"/>
      <c r="E1" s="1"/>
      <c r="F1" s="1"/>
      <c r="G1" s="1"/>
      <c r="H1" s="1"/>
      <c r="I1" s="1"/>
      <c r="J1" s="1"/>
      <c r="K1" s="1"/>
      <c r="L1" s="1"/>
      <c r="M1" s="1"/>
      <c r="N1" s="1"/>
      <c r="O1" s="1"/>
      <c r="P1" s="1"/>
      <c r="Q1" s="1"/>
      <c r="R1" s="1"/>
      <c r="S1" s="1"/>
      <c r="T1" s="1"/>
      <c r="U1" s="1"/>
      <c r="V1" s="1"/>
      <c r="W1" s="1"/>
      <c r="X1" s="1"/>
      <c r="Y1" s="1"/>
      <c r="Z1" s="1"/>
      <c r="AA1" s="1"/>
    </row>
    <row r="2" customFormat="false" ht="19.5" hidden="false" customHeight="true" outlineLevel="0" collapsed="false">
      <c r="A2" s="2" t="s">
        <v>220</v>
      </c>
      <c r="B2" s="2"/>
      <c r="C2" s="2"/>
      <c r="D2" s="2"/>
      <c r="E2" s="2"/>
      <c r="F2" s="2"/>
      <c r="G2" s="2"/>
      <c r="H2" s="2"/>
      <c r="I2" s="2"/>
      <c r="J2" s="2"/>
      <c r="K2" s="2"/>
      <c r="L2" s="2"/>
      <c r="M2" s="2"/>
      <c r="N2" s="2"/>
      <c r="O2" s="2"/>
      <c r="P2" s="2"/>
      <c r="Q2" s="2"/>
      <c r="R2" s="2"/>
      <c r="S2" s="2"/>
      <c r="T2" s="2"/>
      <c r="U2" s="2"/>
      <c r="V2" s="2"/>
      <c r="W2" s="2"/>
      <c r="X2" s="2"/>
      <c r="Y2" s="2"/>
      <c r="Z2" s="2"/>
      <c r="AA2" s="2"/>
    </row>
    <row r="4" customFormat="false" ht="15" hidden="false" customHeight="false" outlineLevel="0" collapsed="false">
      <c r="B4" s="5" t="s">
        <v>127</v>
      </c>
      <c r="D4" s="31" t="s">
        <v>45</v>
      </c>
      <c r="E4" s="31" t="s">
        <v>129</v>
      </c>
      <c r="F4" s="31" t="s">
        <v>130</v>
      </c>
      <c r="G4" s="31" t="s">
        <v>131</v>
      </c>
      <c r="H4" s="31" t="s">
        <v>132</v>
      </c>
      <c r="I4" s="31" t="s">
        <v>133</v>
      </c>
      <c r="J4" s="31" t="s">
        <v>134</v>
      </c>
      <c r="K4" s="31" t="s">
        <v>135</v>
      </c>
      <c r="L4" s="31" t="s">
        <v>136</v>
      </c>
      <c r="M4" s="31" t="s">
        <v>137</v>
      </c>
      <c r="N4" s="31" t="s">
        <v>138</v>
      </c>
      <c r="O4" s="31" t="s">
        <v>139</v>
      </c>
      <c r="P4" s="31" t="s">
        <v>140</v>
      </c>
      <c r="Q4" s="31" t="s">
        <v>141</v>
      </c>
      <c r="R4" s="31" t="s">
        <v>142</v>
      </c>
      <c r="S4" s="31" t="s">
        <v>143</v>
      </c>
      <c r="T4" s="31" t="s">
        <v>144</v>
      </c>
      <c r="U4" s="31" t="s">
        <v>145</v>
      </c>
      <c r="V4" s="31" t="s">
        <v>146</v>
      </c>
      <c r="W4" s="31" t="s">
        <v>147</v>
      </c>
      <c r="X4" s="31" t="s">
        <v>148</v>
      </c>
      <c r="Y4" s="31" t="s">
        <v>149</v>
      </c>
      <c r="Z4" s="31" t="s">
        <v>150</v>
      </c>
      <c r="AA4" s="31" t="s">
        <v>151</v>
      </c>
    </row>
    <row r="6" customFormat="false" ht="15" hidden="false" customHeight="false" outlineLevel="0" collapsed="false">
      <c r="B6" s="15" t="s">
        <v>221</v>
      </c>
      <c r="D6" s="48" t="n">
        <f aca="false">'2 · Assumptions'!$C$11</f>
        <v>25000</v>
      </c>
      <c r="E6" s="48" t="n">
        <f aca="false">D11</f>
        <v>751652.8</v>
      </c>
      <c r="F6" s="48" t="n">
        <f aca="false">E11</f>
        <v>727815.2448</v>
      </c>
      <c r="G6" s="48" t="n">
        <f aca="false">F11</f>
        <v>694579.1872</v>
      </c>
      <c r="H6" s="48" t="n">
        <f aca="false">G11</f>
        <v>661039.2448</v>
      </c>
      <c r="I6" s="48" t="n">
        <f aca="false">H11</f>
        <v>627292.8</v>
      </c>
      <c r="J6" s="48" t="n">
        <f aca="false">I11</f>
        <v>593440</v>
      </c>
      <c r="K6" s="48" t="n">
        <f aca="false">J11</f>
        <v>540952.458333333</v>
      </c>
      <c r="L6" s="48" t="n">
        <f aca="false">K11</f>
        <v>490516.125</v>
      </c>
      <c r="M6" s="48" t="n">
        <f aca="false">L11</f>
        <v>442624.5</v>
      </c>
      <c r="N6" s="48" t="n">
        <f aca="false">M11</f>
        <v>397782.633333333</v>
      </c>
      <c r="O6" s="48" t="n">
        <f aca="false">N11</f>
        <v>347507.125</v>
      </c>
      <c r="P6" s="48" t="n">
        <f aca="false">O11</f>
        <v>301326.125</v>
      </c>
      <c r="Q6" s="48" t="n">
        <f aca="false">P11</f>
        <v>261860.15625</v>
      </c>
      <c r="R6" s="48" t="n">
        <f aca="false">Q11</f>
        <v>221047.65625</v>
      </c>
      <c r="S6" s="48" t="n">
        <f aca="false">R11</f>
        <v>183354.625</v>
      </c>
      <c r="T6" s="48" t="n">
        <f aca="false">S11</f>
        <v>155274.625</v>
      </c>
      <c r="U6" s="48" t="n">
        <f aca="false">T11</f>
        <v>128828.78125</v>
      </c>
      <c r="V6" s="48" t="n">
        <f aca="false">U11</f>
        <v>107065.78125</v>
      </c>
      <c r="W6" s="48" t="n">
        <f aca="false">V11</f>
        <v>98061.8750000001</v>
      </c>
      <c r="X6" s="48" t="n">
        <f aca="false">W11</f>
        <v>93920.875</v>
      </c>
      <c r="Y6" s="48" t="n">
        <f aca="false">X11</f>
        <v>99274.15625</v>
      </c>
      <c r="Z6" s="48" t="n">
        <f aca="false">Y11</f>
        <v>120780.65625</v>
      </c>
      <c r="AA6" s="48" t="n">
        <f aca="false">Z11</f>
        <v>150626.875</v>
      </c>
    </row>
    <row r="7" customFormat="false" ht="15" hidden="false" customHeight="false" outlineLevel="0" collapsed="false">
      <c r="B7" s="15" t="s">
        <v>222</v>
      </c>
      <c r="D7" s="47" t="n">
        <f aca="false">'2 · Assumptions'!$C$12</f>
        <v>750000</v>
      </c>
      <c r="E7" s="52" t="n">
        <v>0</v>
      </c>
      <c r="F7" s="52" t="n">
        <v>0</v>
      </c>
      <c r="G7" s="52" t="n">
        <v>0</v>
      </c>
      <c r="H7" s="52" t="n">
        <v>0</v>
      </c>
      <c r="I7" s="52" t="n">
        <v>0</v>
      </c>
      <c r="J7" s="52" t="n">
        <v>0</v>
      </c>
      <c r="K7" s="52" t="n">
        <v>0</v>
      </c>
      <c r="L7" s="52" t="n">
        <v>0</v>
      </c>
      <c r="M7" s="52" t="n">
        <v>0</v>
      </c>
      <c r="N7" s="52" t="n">
        <v>0</v>
      </c>
      <c r="O7" s="52" t="n">
        <v>0</v>
      </c>
      <c r="P7" s="52" t="n">
        <v>0</v>
      </c>
      <c r="Q7" s="52" t="n">
        <v>0</v>
      </c>
      <c r="R7" s="52" t="n">
        <v>0</v>
      </c>
      <c r="S7" s="52" t="n">
        <v>0</v>
      </c>
      <c r="T7" s="52" t="n">
        <v>0</v>
      </c>
      <c r="U7" s="52" t="n">
        <v>0</v>
      </c>
      <c r="V7" s="52" t="n">
        <v>0</v>
      </c>
      <c r="W7" s="52" t="n">
        <v>0</v>
      </c>
      <c r="X7" s="52" t="n">
        <v>0</v>
      </c>
      <c r="Y7" s="52" t="n">
        <v>0</v>
      </c>
      <c r="Z7" s="52" t="n">
        <v>0</v>
      </c>
      <c r="AA7" s="52" t="n">
        <v>0</v>
      </c>
    </row>
    <row r="8" customFormat="false" ht="15" hidden="false" customHeight="false" outlineLevel="0" collapsed="false">
      <c r="B8" s="15" t="s">
        <v>223</v>
      </c>
      <c r="D8" s="47" t="n">
        <f aca="false">'5 · P&amp;L'!D33</f>
        <v>-23347.2</v>
      </c>
      <c r="E8" s="47" t="n">
        <f aca="false">'5 · P&amp;L'!E33</f>
        <v>-23837.5552</v>
      </c>
      <c r="F8" s="47" t="n">
        <f aca="false">'5 · P&amp;L'!F33</f>
        <v>-33236.0576</v>
      </c>
      <c r="G8" s="47" t="n">
        <f aca="false">'5 · P&amp;L'!G33</f>
        <v>-33539.9424</v>
      </c>
      <c r="H8" s="47" t="n">
        <f aca="false">'5 · P&amp;L'!H33</f>
        <v>-33746.4448</v>
      </c>
      <c r="I8" s="47" t="n">
        <f aca="false">'5 · P&amp;L'!I33</f>
        <v>-33852.8</v>
      </c>
      <c r="J8" s="47" t="n">
        <f aca="false">'5 · P&amp;L'!J33</f>
        <v>-52487.5416666667</v>
      </c>
      <c r="K8" s="47" t="n">
        <f aca="false">'5 · P&amp;L'!K33</f>
        <v>-50436.3333333333</v>
      </c>
      <c r="L8" s="47" t="n">
        <f aca="false">'5 · P&amp;L'!L33</f>
        <v>-47891.625</v>
      </c>
      <c r="M8" s="47" t="n">
        <f aca="false">'5 · P&amp;L'!M33</f>
        <v>-44841.8666666667</v>
      </c>
      <c r="N8" s="47" t="n">
        <f aca="false">'5 · P&amp;L'!N33</f>
        <v>-50275.5083333333</v>
      </c>
      <c r="O8" s="47" t="n">
        <f aca="false">'5 · P&amp;L'!O33</f>
        <v>-46181</v>
      </c>
      <c r="P8" s="47" t="n">
        <f aca="false">'5 · P&amp;L'!P33</f>
        <v>-39465.96875</v>
      </c>
      <c r="Q8" s="47" t="n">
        <f aca="false">'5 · P&amp;L'!Q33</f>
        <v>-40812.5</v>
      </c>
      <c r="R8" s="47" t="n">
        <f aca="false">'5 · P&amp;L'!R33</f>
        <v>-37693.03125</v>
      </c>
      <c r="S8" s="47" t="n">
        <f aca="false">'5 · P&amp;L'!S33</f>
        <v>-28080</v>
      </c>
      <c r="T8" s="47" t="n">
        <f aca="false">'5 · P&amp;L'!T33</f>
        <v>-26445.84375</v>
      </c>
      <c r="U8" s="47" t="n">
        <f aca="false">'5 · P&amp;L'!U33</f>
        <v>-21763</v>
      </c>
      <c r="V8" s="47" t="n">
        <f aca="false">'5 · P&amp;L'!V33</f>
        <v>-9003.90624999999</v>
      </c>
      <c r="W8" s="47" t="n">
        <f aca="false">'5 · P&amp;L'!W33</f>
        <v>-4141.00000000003</v>
      </c>
      <c r="X8" s="47" t="n">
        <f aca="false">'5 · P&amp;L'!X33</f>
        <v>5353.28125</v>
      </c>
      <c r="Y8" s="47" t="n">
        <f aca="false">'5 · P&amp;L'!Y33</f>
        <v>21506.5</v>
      </c>
      <c r="Z8" s="47" t="n">
        <f aca="false">'5 · P&amp;L'!Z33</f>
        <v>29846.21875</v>
      </c>
      <c r="AA8" s="47" t="n">
        <f aca="false">'5 · P&amp;L'!AA33</f>
        <v>48400</v>
      </c>
    </row>
    <row r="10" customFormat="false" ht="15" hidden="false" customHeight="false" outlineLevel="0" collapsed="false">
      <c r="B10" s="38" t="s">
        <v>224</v>
      </c>
      <c r="D10" s="41" t="n">
        <f aca="false">D7+D8</f>
        <v>726652.8</v>
      </c>
      <c r="E10" s="41" t="n">
        <f aca="false">E7+E8</f>
        <v>-23837.5552</v>
      </c>
      <c r="F10" s="41" t="n">
        <f aca="false">F7+F8</f>
        <v>-33236.0576</v>
      </c>
      <c r="G10" s="41" t="n">
        <f aca="false">G7+G8</f>
        <v>-33539.9424</v>
      </c>
      <c r="H10" s="41" t="n">
        <f aca="false">H7+H8</f>
        <v>-33746.4448</v>
      </c>
      <c r="I10" s="41" t="n">
        <f aca="false">I7+I8</f>
        <v>-33852.8</v>
      </c>
      <c r="J10" s="41" t="n">
        <f aca="false">J7+J8</f>
        <v>-52487.5416666667</v>
      </c>
      <c r="K10" s="41" t="n">
        <f aca="false">K7+K8</f>
        <v>-50436.3333333333</v>
      </c>
      <c r="L10" s="41" t="n">
        <f aca="false">L7+L8</f>
        <v>-47891.625</v>
      </c>
      <c r="M10" s="41" t="n">
        <f aca="false">M7+M8</f>
        <v>-44841.8666666667</v>
      </c>
      <c r="N10" s="41" t="n">
        <f aca="false">N7+N8</f>
        <v>-50275.5083333333</v>
      </c>
      <c r="O10" s="41" t="n">
        <f aca="false">O7+O8</f>
        <v>-46181</v>
      </c>
      <c r="P10" s="41" t="n">
        <f aca="false">P7+P8</f>
        <v>-39465.96875</v>
      </c>
      <c r="Q10" s="41" t="n">
        <f aca="false">Q7+Q8</f>
        <v>-40812.5</v>
      </c>
      <c r="R10" s="41" t="n">
        <f aca="false">R7+R8</f>
        <v>-37693.03125</v>
      </c>
      <c r="S10" s="41" t="n">
        <f aca="false">S7+S8</f>
        <v>-28080</v>
      </c>
      <c r="T10" s="41" t="n">
        <f aca="false">T7+T8</f>
        <v>-26445.84375</v>
      </c>
      <c r="U10" s="41" t="n">
        <f aca="false">U7+U8</f>
        <v>-21763</v>
      </c>
      <c r="V10" s="41" t="n">
        <f aca="false">V7+V8</f>
        <v>-9003.90624999999</v>
      </c>
      <c r="W10" s="41" t="n">
        <f aca="false">W7+W8</f>
        <v>-4141.00000000003</v>
      </c>
      <c r="X10" s="41" t="n">
        <f aca="false">X7+X8</f>
        <v>5353.28125</v>
      </c>
      <c r="Y10" s="41" t="n">
        <f aca="false">Y7+Y8</f>
        <v>21506.5</v>
      </c>
      <c r="Z10" s="41" t="n">
        <f aca="false">Z7+Z8</f>
        <v>29846.21875</v>
      </c>
      <c r="AA10" s="41" t="n">
        <f aca="false">AA7+AA8</f>
        <v>48400</v>
      </c>
    </row>
    <row r="11" customFormat="false" ht="15" hidden="false" customHeight="false" outlineLevel="0" collapsed="false">
      <c r="B11" s="38" t="s">
        <v>225</v>
      </c>
      <c r="D11" s="49" t="n">
        <f aca="false">D6+D10</f>
        <v>751652.8</v>
      </c>
      <c r="E11" s="49" t="n">
        <f aca="false">E6+E10</f>
        <v>727815.2448</v>
      </c>
      <c r="F11" s="49" t="n">
        <f aca="false">F6+F10</f>
        <v>694579.1872</v>
      </c>
      <c r="G11" s="49" t="n">
        <f aca="false">G6+G10</f>
        <v>661039.2448</v>
      </c>
      <c r="H11" s="49" t="n">
        <f aca="false">H6+H10</f>
        <v>627292.8</v>
      </c>
      <c r="I11" s="49" t="n">
        <f aca="false">I6+I10</f>
        <v>593440</v>
      </c>
      <c r="J11" s="49" t="n">
        <f aca="false">J6+J10</f>
        <v>540952.458333333</v>
      </c>
      <c r="K11" s="49" t="n">
        <f aca="false">K6+K10</f>
        <v>490516.125</v>
      </c>
      <c r="L11" s="49" t="n">
        <f aca="false">L6+L10</f>
        <v>442624.5</v>
      </c>
      <c r="M11" s="49" t="n">
        <f aca="false">M6+M10</f>
        <v>397782.633333333</v>
      </c>
      <c r="N11" s="49" t="n">
        <f aca="false">N6+N10</f>
        <v>347507.125</v>
      </c>
      <c r="O11" s="49" t="n">
        <f aca="false">O6+O10</f>
        <v>301326.125</v>
      </c>
      <c r="P11" s="49" t="n">
        <f aca="false">P6+P10</f>
        <v>261860.15625</v>
      </c>
      <c r="Q11" s="49" t="n">
        <f aca="false">Q6+Q10</f>
        <v>221047.65625</v>
      </c>
      <c r="R11" s="49" t="n">
        <f aca="false">R6+R10</f>
        <v>183354.625</v>
      </c>
      <c r="S11" s="49" t="n">
        <f aca="false">S6+S10</f>
        <v>155274.625</v>
      </c>
      <c r="T11" s="49" t="n">
        <f aca="false">T6+T10</f>
        <v>128828.78125</v>
      </c>
      <c r="U11" s="49" t="n">
        <f aca="false">U6+U10</f>
        <v>107065.78125</v>
      </c>
      <c r="V11" s="49" t="n">
        <f aca="false">V6+V10</f>
        <v>98061.8750000001</v>
      </c>
      <c r="W11" s="49" t="n">
        <f aca="false">W6+W10</f>
        <v>93920.875</v>
      </c>
      <c r="X11" s="49" t="n">
        <f aca="false">X6+X10</f>
        <v>99274.15625</v>
      </c>
      <c r="Y11" s="49" t="n">
        <f aca="false">Y6+Y10</f>
        <v>120780.65625</v>
      </c>
      <c r="Z11" s="49" t="n">
        <f aca="false">Z6+Z10</f>
        <v>150626.875</v>
      </c>
      <c r="AA11" s="49" t="n">
        <f aca="false">AA6+AA10</f>
        <v>199026.875</v>
      </c>
    </row>
    <row r="13" customFormat="false" ht="15" hidden="false" customHeight="false" outlineLevel="0" collapsed="false">
      <c r="B13" s="15" t="s">
        <v>226</v>
      </c>
      <c r="D13" s="48" t="n">
        <f aca="false">IF(D8&lt;0,-D8,0)</f>
        <v>23347.2</v>
      </c>
      <c r="E13" s="48" t="n">
        <f aca="false">IF(E8&lt;0,-E8,0)</f>
        <v>23837.5552</v>
      </c>
      <c r="F13" s="48" t="n">
        <f aca="false">IF(F8&lt;0,-F8,0)</f>
        <v>33236.0576</v>
      </c>
      <c r="G13" s="48" t="n">
        <f aca="false">IF(G8&lt;0,-G8,0)</f>
        <v>33539.9424</v>
      </c>
      <c r="H13" s="48" t="n">
        <f aca="false">IF(H8&lt;0,-H8,0)</f>
        <v>33746.4448</v>
      </c>
      <c r="I13" s="48" t="n">
        <f aca="false">IF(I8&lt;0,-I8,0)</f>
        <v>33852.8</v>
      </c>
      <c r="J13" s="48" t="n">
        <f aca="false">IF(J8&lt;0,-J8,0)</f>
        <v>52487.5416666667</v>
      </c>
      <c r="K13" s="48" t="n">
        <f aca="false">IF(K8&lt;0,-K8,0)</f>
        <v>50436.3333333333</v>
      </c>
      <c r="L13" s="48" t="n">
        <f aca="false">IF(L8&lt;0,-L8,0)</f>
        <v>47891.625</v>
      </c>
      <c r="M13" s="48" t="n">
        <f aca="false">IF(M8&lt;0,-M8,0)</f>
        <v>44841.8666666667</v>
      </c>
      <c r="N13" s="48" t="n">
        <f aca="false">IF(N8&lt;0,-N8,0)</f>
        <v>50275.5083333333</v>
      </c>
      <c r="O13" s="48" t="n">
        <f aca="false">IF(O8&lt;0,-O8,0)</f>
        <v>46181</v>
      </c>
      <c r="P13" s="48" t="n">
        <f aca="false">IF(P8&lt;0,-P8,0)</f>
        <v>39465.96875</v>
      </c>
      <c r="Q13" s="48" t="n">
        <f aca="false">IF(Q8&lt;0,-Q8,0)</f>
        <v>40812.5</v>
      </c>
      <c r="R13" s="48" t="n">
        <f aca="false">IF(R8&lt;0,-R8,0)</f>
        <v>37693.03125</v>
      </c>
      <c r="S13" s="48" t="n">
        <f aca="false">IF(S8&lt;0,-S8,0)</f>
        <v>28080</v>
      </c>
      <c r="T13" s="48" t="n">
        <f aca="false">IF(T8&lt;0,-T8,0)</f>
        <v>26445.84375</v>
      </c>
      <c r="U13" s="48" t="n">
        <f aca="false">IF(U8&lt;0,-U8,0)</f>
        <v>21763</v>
      </c>
      <c r="V13" s="48" t="n">
        <f aca="false">IF(V8&lt;0,-V8,0)</f>
        <v>9003.90624999999</v>
      </c>
      <c r="W13" s="48" t="n">
        <f aca="false">IF(W8&lt;0,-W8,0)</f>
        <v>4141.00000000003</v>
      </c>
      <c r="X13" s="48" t="n">
        <f aca="false">IF(X8&lt;0,-X8,0)</f>
        <v>0</v>
      </c>
      <c r="Y13" s="48" t="n">
        <f aca="false">IF(Y8&lt;0,-Y8,0)</f>
        <v>0</v>
      </c>
      <c r="Z13" s="48" t="n">
        <f aca="false">IF(Z8&lt;0,-Z8,0)</f>
        <v>0</v>
      </c>
      <c r="AA13" s="48" t="n">
        <f aca="false">IF(AA8&lt;0,-AA8,0)</f>
        <v>0</v>
      </c>
    </row>
    <row r="14" customFormat="false" ht="15" hidden="false" customHeight="false" outlineLevel="0" collapsed="false">
      <c r="B14" s="38" t="s">
        <v>227</v>
      </c>
      <c r="D14" s="51" t="n">
        <f aca="false">D11</f>
        <v>751652.8</v>
      </c>
      <c r="E14" s="51" t="n">
        <f aca="false">E11</f>
        <v>727815.2448</v>
      </c>
      <c r="F14" s="51" t="n">
        <f aca="false">F11</f>
        <v>694579.1872</v>
      </c>
      <c r="G14" s="51" t="n">
        <f aca="false">G11</f>
        <v>661039.2448</v>
      </c>
      <c r="H14" s="51" t="n">
        <f aca="false">H11</f>
        <v>627292.8</v>
      </c>
      <c r="I14" s="51" t="n">
        <f aca="false">I11</f>
        <v>593440</v>
      </c>
      <c r="J14" s="51" t="n">
        <f aca="false">J11</f>
        <v>540952.458333333</v>
      </c>
      <c r="K14" s="51" t="n">
        <f aca="false">K11</f>
        <v>490516.125</v>
      </c>
      <c r="L14" s="51" t="n">
        <f aca="false">L11</f>
        <v>442624.5</v>
      </c>
      <c r="M14" s="51" t="n">
        <f aca="false">M11</f>
        <v>397782.633333333</v>
      </c>
      <c r="N14" s="51" t="n">
        <f aca="false">N11</f>
        <v>347507.125</v>
      </c>
      <c r="O14" s="51" t="n">
        <f aca="false">O11</f>
        <v>301326.125</v>
      </c>
      <c r="P14" s="51" t="n">
        <f aca="false">P11</f>
        <v>261860.15625</v>
      </c>
      <c r="Q14" s="51" t="n">
        <f aca="false">Q11</f>
        <v>221047.65625</v>
      </c>
      <c r="R14" s="51" t="n">
        <f aca="false">R11</f>
        <v>183354.625</v>
      </c>
      <c r="S14" s="51" t="n">
        <f aca="false">S11</f>
        <v>155274.625</v>
      </c>
      <c r="T14" s="51" t="n">
        <f aca="false">T11</f>
        <v>128828.78125</v>
      </c>
      <c r="U14" s="51" t="n">
        <f aca="false">U11</f>
        <v>107065.78125</v>
      </c>
      <c r="V14" s="51" t="n">
        <f aca="false">V11</f>
        <v>98061.8750000001</v>
      </c>
      <c r="W14" s="51" t="n">
        <f aca="false">W11</f>
        <v>93920.875</v>
      </c>
      <c r="X14" s="51" t="n">
        <f aca="false">X11</f>
        <v>99274.15625</v>
      </c>
      <c r="Y14" s="51" t="n">
        <f aca="false">Y11</f>
        <v>120780.65625</v>
      </c>
      <c r="Z14" s="51" t="n">
        <f aca="false">Z11</f>
        <v>150626.875</v>
      </c>
      <c r="AA14" s="51" t="n">
        <f aca="false">AA11</f>
        <v>199026.875</v>
      </c>
    </row>
    <row r="15" customFormat="false" ht="15" hidden="false" customHeight="false" outlineLevel="0" collapsed="false">
      <c r="B15" s="38" t="s">
        <v>228</v>
      </c>
      <c r="D15" s="53" t="n">
        <f aca="false">IFERROR(D11/D13,"-")</f>
        <v>32.1945586622807</v>
      </c>
      <c r="E15" s="53" t="n">
        <f aca="false">IFERROR(E11/E13,"-")</f>
        <v>30.5322940500207</v>
      </c>
      <c r="F15" s="53" t="n">
        <f aca="false">IFERROR(F11/AVERAGE(D13:F13),"-")</f>
        <v>25.9104265307799</v>
      </c>
      <c r="G15" s="53" t="n">
        <f aca="false">IFERROR(G11/AVERAGE(E13:G13),"-")</f>
        <v>21.8854423052148</v>
      </c>
      <c r="H15" s="53" t="n">
        <f aca="false">IFERROR(H11/AVERAGE(F13:H13),"-")</f>
        <v>18.7209772279633</v>
      </c>
      <c r="I15" s="53" t="n">
        <f aca="false">IFERROR(I11/AVERAGE(G13:I13),"-")</f>
        <v>17.6026726068054</v>
      </c>
      <c r="J15" s="53" t="n">
        <f aca="false">IFERROR(J11/AVERAGE(H13:J13),"-")</f>
        <v>13.5140378283873</v>
      </c>
      <c r="K15" s="53" t="n">
        <f aca="false">IFERROR(K11/AVERAGE(I13:K13),"-")</f>
        <v>10.7587669827476</v>
      </c>
      <c r="L15" s="53" t="n">
        <f aca="false">IFERROR(L11/AVERAGE(J13:L13),"-")</f>
        <v>8.80462220395119</v>
      </c>
      <c r="M15" s="53" t="n">
        <f aca="false">IFERROR(M11/AVERAGE(K13:M13),"-")</f>
        <v>8.33519144135295</v>
      </c>
      <c r="N15" s="53" t="n">
        <f aca="false">IFERROR(N11/AVERAGE(L13:N13),"-")</f>
        <v>7.28990046081016</v>
      </c>
      <c r="O15" s="53" t="n">
        <f aca="false">IFERROR(O11/AVERAGE(M13:O13),"-")</f>
        <v>6.39765584706831</v>
      </c>
      <c r="P15" s="53" t="n">
        <f aca="false">IFERROR(P11/AVERAGE(N13:P13),"-")</f>
        <v>5.77962148429921</v>
      </c>
      <c r="Q15" s="53" t="n">
        <f aca="false">IFERROR(Q11/AVERAGE(O13:Q13),"-")</f>
        <v>5.24391708509372</v>
      </c>
      <c r="R15" s="53" t="n">
        <f aca="false">IFERROR(R11/AVERAGE(P13:R13),"-")</f>
        <v>4.66268441954201</v>
      </c>
      <c r="S15" s="53" t="n">
        <f aca="false">IFERROR(S11/AVERAGE(Q13:S13),"-")</f>
        <v>4.37042316660593</v>
      </c>
      <c r="T15" s="53" t="n">
        <f aca="false">IFERROR(T11/AVERAGE(R13:T13),"-")</f>
        <v>4.19096788753929</v>
      </c>
      <c r="U15" s="53" t="n">
        <f aca="false">IFERROR(U11/AVERAGE(S13:U13),"-")</f>
        <v>4.21027935359159</v>
      </c>
      <c r="V15" s="53" t="n">
        <f aca="false">IFERROR(V11/AVERAGE(T13:V13),"-")</f>
        <v>5.14195917867958</v>
      </c>
      <c r="W15" s="53" t="n">
        <f aca="false">IFERROR(W11/AVERAGE(U13:W13),"-")</f>
        <v>8.07159910944244</v>
      </c>
      <c r="X15" s="53" t="n">
        <f aca="false">IFERROR(X11/AVERAGE(V13:X13),"-")</f>
        <v>22.6568727905534</v>
      </c>
      <c r="Y15" s="53" t="n">
        <f aca="false">IFERROR(Y11/AVERAGE(W13:Y13),"-")</f>
        <v>87.5010791475483</v>
      </c>
      <c r="Z15" s="53" t="str">
        <f aca="false">IFERROR(Z11/AVERAGE(X13:Z13),"-")</f>
        <v>-</v>
      </c>
      <c r="AA15" s="53" t="str">
        <f aca="false">IFERROR(AA11/AVERAGE(Y13:AA13),"-")</f>
        <v>-</v>
      </c>
    </row>
    <row r="18" customFormat="false" ht="15" hidden="false" customHeight="false" outlineLevel="0" collapsed="false">
      <c r="B18" s="3" t="s">
        <v>229</v>
      </c>
    </row>
    <row r="19" customFormat="false" ht="15" hidden="false" customHeight="true" outlineLevel="0" collapsed="false">
      <c r="B19" s="46" t="s">
        <v>230</v>
      </c>
      <c r="C19" s="46"/>
      <c r="D19" s="46"/>
      <c r="E19" s="46"/>
      <c r="F19" s="46"/>
      <c r="G19" s="46"/>
      <c r="H19" s="46"/>
      <c r="I19" s="46"/>
      <c r="J19" s="46"/>
      <c r="K19" s="46"/>
      <c r="L19" s="46"/>
      <c r="M19" s="46"/>
      <c r="N19" s="46"/>
      <c r="O19" s="46"/>
      <c r="P19" s="46"/>
      <c r="Q19" s="46"/>
      <c r="R19" s="46"/>
      <c r="S19" s="46"/>
      <c r="T19" s="46"/>
      <c r="U19" s="46"/>
      <c r="V19" s="46"/>
      <c r="W19" s="46"/>
      <c r="X19" s="46"/>
      <c r="Y19" s="46"/>
      <c r="Z19" s="46"/>
      <c r="AA19" s="46"/>
    </row>
    <row r="20" customFormat="false" ht="15" hidden="false" customHeight="false" outlineLevel="0" collapsed="false">
      <c r="B20" s="46"/>
      <c r="C20" s="46"/>
      <c r="D20" s="46"/>
      <c r="E20" s="46"/>
      <c r="F20" s="46"/>
      <c r="G20" s="46"/>
      <c r="H20" s="46"/>
      <c r="I20" s="46"/>
      <c r="J20" s="46"/>
      <c r="K20" s="46"/>
      <c r="L20" s="46"/>
      <c r="M20" s="46"/>
      <c r="N20" s="46"/>
      <c r="O20" s="46"/>
      <c r="P20" s="46"/>
      <c r="Q20" s="46"/>
      <c r="R20" s="46"/>
      <c r="S20" s="46"/>
      <c r="T20" s="46"/>
      <c r="U20" s="46"/>
      <c r="V20" s="46"/>
      <c r="W20" s="46"/>
      <c r="X20" s="46"/>
      <c r="Y20" s="46"/>
      <c r="Z20" s="46"/>
      <c r="AA20" s="46"/>
    </row>
    <row r="21" customFormat="false" ht="15" hidden="false" customHeight="false" outlineLevel="0" collapsed="false">
      <c r="B21" s="46"/>
      <c r="C21" s="46"/>
      <c r="D21" s="46"/>
      <c r="E21" s="46"/>
      <c r="F21" s="46"/>
      <c r="G21" s="46"/>
      <c r="H21" s="46"/>
      <c r="I21" s="46"/>
      <c r="J21" s="46"/>
      <c r="K21" s="46"/>
      <c r="L21" s="46"/>
      <c r="M21" s="46"/>
      <c r="N21" s="46"/>
      <c r="O21" s="46"/>
      <c r="P21" s="46"/>
      <c r="Q21" s="46"/>
      <c r="R21" s="46"/>
      <c r="S21" s="46"/>
      <c r="T21" s="46"/>
      <c r="U21" s="46"/>
      <c r="V21" s="46"/>
      <c r="W21" s="46"/>
      <c r="X21" s="46"/>
      <c r="Y21" s="46"/>
      <c r="Z21" s="46"/>
      <c r="AA21" s="46"/>
    </row>
    <row r="22" customFormat="false" ht="15" hidden="false" customHeight="false" outlineLevel="0" collapsed="false">
      <c r="B22" s="46"/>
      <c r="C22" s="46"/>
      <c r="D22" s="46"/>
      <c r="E22" s="46"/>
      <c r="F22" s="46"/>
      <c r="G22" s="46"/>
      <c r="H22" s="46"/>
      <c r="I22" s="46"/>
      <c r="J22" s="46"/>
      <c r="K22" s="46"/>
      <c r="L22" s="46"/>
      <c r="M22" s="46"/>
      <c r="N22" s="46"/>
      <c r="O22" s="46"/>
      <c r="P22" s="46"/>
      <c r="Q22" s="46"/>
      <c r="R22" s="46"/>
      <c r="S22" s="46"/>
      <c r="T22" s="46"/>
      <c r="U22" s="46"/>
      <c r="V22" s="46"/>
      <c r="W22" s="46"/>
      <c r="X22" s="46"/>
      <c r="Y22" s="46"/>
      <c r="Z22" s="46"/>
      <c r="AA22" s="46"/>
    </row>
  </sheetData>
  <mergeCells count="3">
    <mergeCell ref="A1:AA1"/>
    <mergeCell ref="A2:AA2"/>
    <mergeCell ref="B19:AA22"/>
  </mergeCells>
  <printOptions headings="false" gridLines="false" gridLinesSet="true" horizontalCentered="false" verticalCentered="false"/>
  <pageMargins left="0.4" right="0.4" top="0.4" bottom="0.4" header="0.511811023622047" footer="0.511811023622047"/>
  <pageSetup paperSize="1" scale="100" fitToWidth="1" fitToHeight="0" pageOrder="downThenOver" orientation="landscape" blackAndWhite="false" draft="false" cellComments="non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F1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0" width="2"/>
    <col collapsed="false" customWidth="true" hidden="false" outlineLevel="0" max="2" min="2" style="0" width="40"/>
    <col collapsed="false" customWidth="true" hidden="false" outlineLevel="0" max="5" min="3" style="0" width="16"/>
    <col collapsed="false" customWidth="true" hidden="false" outlineLevel="0" max="6" min="6" style="0" width="36"/>
  </cols>
  <sheetData>
    <row r="1" customFormat="false" ht="31.5" hidden="false" customHeight="true" outlineLevel="0" collapsed="false">
      <c r="A1" s="1" t="s">
        <v>231</v>
      </c>
      <c r="B1" s="1"/>
      <c r="C1" s="1"/>
      <c r="D1" s="1"/>
      <c r="E1" s="1"/>
      <c r="F1" s="1"/>
    </row>
    <row r="2" customFormat="false" ht="19.5" hidden="false" customHeight="true" outlineLevel="0" collapsed="false">
      <c r="A2" s="2" t="s">
        <v>232</v>
      </c>
      <c r="B2" s="2"/>
      <c r="C2" s="2"/>
      <c r="D2" s="2"/>
      <c r="E2" s="2"/>
      <c r="F2" s="2"/>
    </row>
    <row r="4" customFormat="false" ht="15" hidden="false" customHeight="false" outlineLevel="0" collapsed="false">
      <c r="B4" s="20" t="s">
        <v>233</v>
      </c>
      <c r="C4" s="20" t="s">
        <v>119</v>
      </c>
      <c r="D4" s="20" t="s">
        <v>121</v>
      </c>
      <c r="E4" s="20" t="s">
        <v>123</v>
      </c>
      <c r="F4" s="20" t="s">
        <v>234</v>
      </c>
    </row>
    <row r="5" customFormat="false" ht="15" hidden="false" customHeight="false" outlineLevel="0" collapsed="false">
      <c r="B5" s="15" t="s">
        <v>235</v>
      </c>
      <c r="C5" s="54" t="n">
        <f aca="false">'2 · Assumptions'!$C$52</f>
        <v>0.6</v>
      </c>
      <c r="D5" s="54" t="n">
        <f aca="false">'2 · Assumptions'!$C$53</f>
        <v>1</v>
      </c>
      <c r="E5" s="54" t="n">
        <f aca="false">'2 · Assumptions'!$C$54</f>
        <v>1.4</v>
      </c>
    </row>
    <row r="6" customFormat="false" ht="15" hidden="false" customHeight="false" outlineLevel="0" collapsed="false">
      <c r="B6" s="15" t="s">
        <v>236</v>
      </c>
      <c r="C6" s="47" t="n">
        <f aca="false">'5 · P&amp;L'!AA8*12*'2 · Assumptions'!$C$52</f>
        <v>2138400</v>
      </c>
      <c r="D6" s="47" t="n">
        <f aca="false">'5 · P&amp;L'!AA8*12</f>
        <v>3564000</v>
      </c>
      <c r="E6" s="47" t="n">
        <f aca="false">'5 · P&amp;L'!AA8*12*'2 · Assumptions'!$C$54</f>
        <v>4989600</v>
      </c>
      <c r="F6" s="13" t="s">
        <v>237</v>
      </c>
    </row>
    <row r="7" customFormat="false" ht="15" hidden="false" customHeight="false" outlineLevel="0" collapsed="false">
      <c r="B7" s="15" t="s">
        <v>169</v>
      </c>
      <c r="C7" s="47" t="n">
        <f aca="false">SUM('3 · Revenue Build'!D12:AA12)*'2 · Assumptions'!$C$52</f>
        <v>10790906.25</v>
      </c>
      <c r="D7" s="47" t="n">
        <f aca="false">SUM('3 · Revenue Build'!D12:AA12)</f>
        <v>17984843.75</v>
      </c>
      <c r="E7" s="47" t="n">
        <f aca="false">SUM('3 · Revenue Build'!D12:AA12)*'2 · Assumptions'!$C$54</f>
        <v>25178781.25</v>
      </c>
      <c r="F7" s="13" t="s">
        <v>238</v>
      </c>
    </row>
    <row r="8" customFormat="false" ht="15" hidden="false" customHeight="false" outlineLevel="0" collapsed="false">
      <c r="B8" s="15" t="s">
        <v>239</v>
      </c>
      <c r="C8" s="48" t="n">
        <f aca="false">'5 · P&amp;L'!AA33*'2 · Assumptions'!$C$52-200000</f>
        <v>-170960</v>
      </c>
      <c r="D8" s="47" t="n">
        <f aca="false">'5 · P&amp;L'!AA33</f>
        <v>48400</v>
      </c>
      <c r="E8" s="48" t="n">
        <f aca="false">'5 · P&amp;L'!AA33*'2 · Assumptions'!$C$54+300000</f>
        <v>367760</v>
      </c>
      <c r="F8" s="13" t="s">
        <v>240</v>
      </c>
    </row>
    <row r="9" customFormat="false" ht="15" hidden="false" customHeight="false" outlineLevel="0" collapsed="false">
      <c r="B9" s="15" t="s">
        <v>241</v>
      </c>
      <c r="C9" s="15" t="s">
        <v>242</v>
      </c>
      <c r="D9" s="15" t="s">
        <v>243</v>
      </c>
      <c r="E9" s="15" t="s">
        <v>244</v>
      </c>
      <c r="F9" s="13" t="s">
        <v>245</v>
      </c>
    </row>
    <row r="10" customFormat="false" ht="15" hidden="false" customHeight="false" outlineLevel="0" collapsed="false">
      <c r="B10" s="38" t="s">
        <v>246</v>
      </c>
      <c r="C10" s="49" t="n">
        <f aca="false">C6*8</f>
        <v>17107200</v>
      </c>
      <c r="D10" s="49" t="n">
        <f aca="false">D6*8</f>
        <v>28512000</v>
      </c>
      <c r="E10" s="49" t="n">
        <f aca="false">E6*8</f>
        <v>39916800</v>
      </c>
      <c r="F10" s="13" t="s">
        <v>247</v>
      </c>
    </row>
    <row r="12" customFormat="false" ht="15" hidden="false" customHeight="false" outlineLevel="0" collapsed="false">
      <c r="B12" s="3" t="s">
        <v>248</v>
      </c>
    </row>
    <row r="13" customFormat="false" ht="15" hidden="false" customHeight="true" outlineLevel="0" collapsed="false">
      <c r="B13" s="46" t="s">
        <v>249</v>
      </c>
      <c r="C13" s="46"/>
      <c r="D13" s="46"/>
      <c r="E13" s="46"/>
      <c r="F13" s="46"/>
    </row>
    <row r="14" customFormat="false" ht="15" hidden="false" customHeight="false" outlineLevel="0" collapsed="false">
      <c r="B14" s="46"/>
      <c r="C14" s="46"/>
      <c r="D14" s="46"/>
      <c r="E14" s="46"/>
      <c r="F14" s="46"/>
    </row>
    <row r="15" customFormat="false" ht="15" hidden="false" customHeight="false" outlineLevel="0" collapsed="false">
      <c r="B15" s="46"/>
      <c r="C15" s="46"/>
      <c r="D15" s="46"/>
      <c r="E15" s="46"/>
      <c r="F15" s="46"/>
    </row>
    <row r="16" customFormat="false" ht="15" hidden="false" customHeight="false" outlineLevel="0" collapsed="false">
      <c r="B16" s="46"/>
      <c r="C16" s="46"/>
      <c r="D16" s="46"/>
      <c r="E16" s="46"/>
      <c r="F16" s="46"/>
    </row>
  </sheetData>
  <mergeCells count="3">
    <mergeCell ref="A1:F1"/>
    <mergeCell ref="A2:F2"/>
    <mergeCell ref="B13:F16"/>
  </mergeCells>
  <printOptions headings="false" gridLines="false" gridLinesSet="true" horizontalCentered="false" verticalCentered="false"/>
  <pageMargins left="0.4" right="0.4" top="0.4" bottom="0.4" header="0.511811023622047" footer="0.511811023622047"/>
  <pageSetup paperSize="1" scale="100" fitToWidth="1" fitToHeight="0" pageOrder="downThenOver" orientation="landscape" blackAndWhite="false" draft="false" cellComments="none" horizontalDpi="300" verticalDpi="300" copies="1"/>
  <headerFooter differentFirst="false" differentOddEven="false">
    <oddHeader/>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E37"/>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customHeight="false" zeroHeight="false" outlineLevelRow="0" outlineLevelCol="0"/>
  <cols>
    <col collapsed="false" customWidth="true" hidden="false" outlineLevel="0" max="1" min="1" style="0" width="2"/>
    <col collapsed="false" customWidth="true" hidden="false" outlineLevel="0" max="2" min="2" style="0" width="36"/>
    <col collapsed="false" customWidth="true" hidden="false" outlineLevel="0" max="3" min="3" style="0" width="16"/>
    <col collapsed="false" customWidth="true" hidden="false" outlineLevel="0" max="4" min="4" style="0" width="12"/>
    <col collapsed="false" customWidth="true" hidden="false" outlineLevel="0" max="5" min="5" style="0" width="50"/>
  </cols>
  <sheetData>
    <row r="1" customFormat="false" ht="31.5" hidden="false" customHeight="true" outlineLevel="0" collapsed="false">
      <c r="A1" s="1" t="s">
        <v>250</v>
      </c>
      <c r="B1" s="1"/>
      <c r="C1" s="1"/>
      <c r="D1" s="1"/>
      <c r="E1" s="1"/>
    </row>
    <row r="2" customFormat="false" ht="19.5" hidden="false" customHeight="true" outlineLevel="0" collapsed="false">
      <c r="A2" s="2" t="s">
        <v>251</v>
      </c>
      <c r="B2" s="2"/>
      <c r="C2" s="2"/>
      <c r="D2" s="2"/>
      <c r="E2" s="2"/>
    </row>
    <row r="4" customFormat="false" ht="19.5" hidden="false" customHeight="true" outlineLevel="0" collapsed="false">
      <c r="B4" s="14" t="s">
        <v>252</v>
      </c>
      <c r="C4" s="14"/>
      <c r="D4" s="14"/>
      <c r="E4" s="14"/>
    </row>
    <row r="5" customFormat="false" ht="15" hidden="false" customHeight="false" outlineLevel="0" collapsed="false">
      <c r="B5" s="15" t="s">
        <v>253</v>
      </c>
      <c r="C5" s="16" t="s">
        <v>254</v>
      </c>
    </row>
    <row r="6" customFormat="false" ht="15" hidden="false" customHeight="false" outlineLevel="0" collapsed="false">
      <c r="B6" s="15" t="s">
        <v>255</v>
      </c>
      <c r="C6" s="16" t="s">
        <v>256</v>
      </c>
    </row>
    <row r="7" customFormat="false" ht="15" hidden="false" customHeight="false" outlineLevel="0" collapsed="false">
      <c r="B7" s="38" t="s">
        <v>257</v>
      </c>
      <c r="C7" s="55" t="n">
        <f aca="false">'2 · Assumptions'!$C$12</f>
        <v>750000</v>
      </c>
    </row>
    <row r="8" customFormat="false" ht="15" hidden="false" customHeight="false" outlineLevel="0" collapsed="false">
      <c r="B8" s="15" t="s">
        <v>258</v>
      </c>
      <c r="C8" s="48" t="n">
        <f aca="false">C7/0.2</f>
        <v>3750000</v>
      </c>
    </row>
    <row r="9" customFormat="false" ht="15" hidden="false" customHeight="false" outlineLevel="0" collapsed="false">
      <c r="B9" s="15" t="s">
        <v>259</v>
      </c>
      <c r="C9" s="15" t="s">
        <v>260</v>
      </c>
    </row>
    <row r="11" customFormat="false" ht="19.5" hidden="false" customHeight="true" outlineLevel="0" collapsed="false">
      <c r="B11" s="14" t="s">
        <v>261</v>
      </c>
      <c r="C11" s="14"/>
      <c r="D11" s="14"/>
      <c r="E11" s="14"/>
    </row>
    <row r="12" customFormat="false" ht="15" hidden="false" customHeight="false" outlineLevel="0" collapsed="false">
      <c r="B12" s="5" t="s">
        <v>262</v>
      </c>
      <c r="C12" s="5" t="s">
        <v>263</v>
      </c>
      <c r="D12" s="5" t="s">
        <v>264</v>
      </c>
      <c r="E12" s="5" t="s">
        <v>265</v>
      </c>
    </row>
    <row r="13" customFormat="false" ht="15" hidden="false" customHeight="false" outlineLevel="0" collapsed="false">
      <c r="B13" s="15" t="s">
        <v>266</v>
      </c>
      <c r="C13" s="47" t="n">
        <f aca="false">'5 · P&amp;L'!C18+'5 · P&amp;L'!C19</f>
        <v>-896000</v>
      </c>
      <c r="D13" s="56" t="n">
        <f aca="false">ABS(C13)/ABS(SUM(C$13:C$16))</f>
        <v>0.430252100840336</v>
      </c>
      <c r="E13" s="13" t="s">
        <v>267</v>
      </c>
    </row>
    <row r="14" customFormat="false" ht="15" hidden="false" customHeight="false" outlineLevel="0" collapsed="false">
      <c r="B14" s="15" t="s">
        <v>268</v>
      </c>
      <c r="C14" s="47" t="n">
        <f aca="false">'5 · P&amp;L'!C23</f>
        <v>-507500</v>
      </c>
      <c r="D14" s="56" t="n">
        <f aca="false">ABS(C14)/ABS(SUM(C$13:C$16))</f>
        <v>0.243697478991597</v>
      </c>
      <c r="E14" s="13" t="s">
        <v>269</v>
      </c>
    </row>
    <row r="15" customFormat="false" ht="15" hidden="false" customHeight="false" outlineLevel="0" collapsed="false">
      <c r="B15" s="15" t="s">
        <v>270</v>
      </c>
      <c r="C15" s="47" t="n">
        <f aca="false">'5 · P&amp;L'!C17+'5 · P&amp;L'!C20</f>
        <v>-535000</v>
      </c>
      <c r="D15" s="56" t="n">
        <f aca="false">ABS(C15)/ABS(SUM(C$13:C$16))</f>
        <v>0.256902761104442</v>
      </c>
      <c r="E15" s="13" t="s">
        <v>271</v>
      </c>
    </row>
    <row r="16" customFormat="false" ht="15" hidden="false" customHeight="false" outlineLevel="0" collapsed="false">
      <c r="B16" s="15" t="s">
        <v>272</v>
      </c>
      <c r="C16" s="47" t="n">
        <f aca="false">'5 · P&amp;L'!C29</f>
        <v>-144000</v>
      </c>
      <c r="D16" s="56" t="n">
        <f aca="false">ABS(C16)/ABS(SUM(C$13:C$16))</f>
        <v>0.0691476590636255</v>
      </c>
      <c r="E16" s="13" t="s">
        <v>273</v>
      </c>
    </row>
    <row r="17" customFormat="false" ht="15" hidden="false" customHeight="false" outlineLevel="0" collapsed="false">
      <c r="B17" s="38" t="s">
        <v>274</v>
      </c>
      <c r="C17" s="49" t="n">
        <f aca="false">SUM(C13:C16)</f>
        <v>-2082500</v>
      </c>
      <c r="D17" s="57" t="s">
        <v>275</v>
      </c>
    </row>
    <row r="18" customFormat="false" ht="15" hidden="false" customHeight="false" outlineLevel="0" collapsed="false">
      <c r="B18" s="15" t="s">
        <v>276</v>
      </c>
      <c r="C18" s="47" t="n">
        <f aca="false">'5 · P&amp;L'!C12</f>
        <v>1506526.875</v>
      </c>
      <c r="E18" s="13" t="s">
        <v>277</v>
      </c>
    </row>
    <row r="19" customFormat="false" ht="15" hidden="false" customHeight="false" outlineLevel="0" collapsed="false">
      <c r="B19" s="38" t="s">
        <v>278</v>
      </c>
      <c r="C19" s="51" t="n">
        <f aca="false">ABS('5 · P&amp;L'!C33)</f>
        <v>575973.125</v>
      </c>
      <c r="E19" s="13" t="s">
        <v>279</v>
      </c>
    </row>
    <row r="21" customFormat="false" ht="19.5" hidden="false" customHeight="true" outlineLevel="0" collapsed="false">
      <c r="B21" s="14" t="s">
        <v>280</v>
      </c>
      <c r="C21" s="14"/>
      <c r="D21" s="14"/>
      <c r="E21" s="14"/>
    </row>
    <row r="22" customFormat="false" ht="15" hidden="false" customHeight="false" outlineLevel="0" collapsed="false">
      <c r="B22" s="5" t="s">
        <v>281</v>
      </c>
      <c r="C22" s="5" t="s">
        <v>282</v>
      </c>
      <c r="D22" s="5" t="s">
        <v>283</v>
      </c>
      <c r="E22" s="5" t="s">
        <v>284</v>
      </c>
    </row>
    <row r="23" customFormat="false" ht="15" hidden="false" customHeight="false" outlineLevel="0" collapsed="false">
      <c r="B23" s="15" t="s">
        <v>65</v>
      </c>
      <c r="C23" s="38" t="s">
        <v>285</v>
      </c>
      <c r="D23" s="58" t="n">
        <v>12</v>
      </c>
      <c r="E23" s="13" t="s">
        <v>286</v>
      </c>
    </row>
    <row r="24" customFormat="false" ht="15" hidden="false" customHeight="false" outlineLevel="0" collapsed="false">
      <c r="B24" s="15" t="s">
        <v>287</v>
      </c>
      <c r="C24" s="38" t="s">
        <v>288</v>
      </c>
      <c r="D24" s="58" t="n">
        <v>12</v>
      </c>
      <c r="E24" s="13" t="s">
        <v>289</v>
      </c>
    </row>
    <row r="25" customFormat="false" ht="15" hidden="false" customHeight="false" outlineLevel="0" collapsed="false">
      <c r="B25" s="15" t="s">
        <v>290</v>
      </c>
      <c r="C25" s="38" t="s">
        <v>291</v>
      </c>
      <c r="D25" s="58" t="n">
        <v>12</v>
      </c>
      <c r="E25" s="13" t="s">
        <v>292</v>
      </c>
    </row>
    <row r="26" customFormat="false" ht="15" hidden="false" customHeight="false" outlineLevel="0" collapsed="false">
      <c r="B26" s="15" t="s">
        <v>65</v>
      </c>
      <c r="C26" s="38" t="s">
        <v>293</v>
      </c>
      <c r="D26" s="58" t="n">
        <v>24</v>
      </c>
      <c r="E26" s="13" t="s">
        <v>294</v>
      </c>
    </row>
    <row r="27" customFormat="false" ht="15" hidden="false" customHeight="false" outlineLevel="0" collapsed="false">
      <c r="B27" s="15" t="s">
        <v>287</v>
      </c>
      <c r="C27" s="38" t="s">
        <v>295</v>
      </c>
      <c r="D27" s="58" t="n">
        <v>24</v>
      </c>
      <c r="E27" s="13" t="s">
        <v>296</v>
      </c>
    </row>
    <row r="28" customFormat="false" ht="15" hidden="false" customHeight="false" outlineLevel="0" collapsed="false">
      <c r="B28" s="15" t="s">
        <v>297</v>
      </c>
      <c r="C28" s="38" t="s">
        <v>298</v>
      </c>
      <c r="D28" s="58" t="n">
        <v>24</v>
      </c>
      <c r="E28" s="13" t="s">
        <v>299</v>
      </c>
    </row>
    <row r="29" customFormat="false" ht="15" hidden="false" customHeight="false" outlineLevel="0" collapsed="false">
      <c r="B29" s="15" t="s">
        <v>300</v>
      </c>
      <c r="C29" s="38" t="s">
        <v>301</v>
      </c>
      <c r="D29" s="58" t="n">
        <v>18</v>
      </c>
      <c r="E29" s="13" t="s">
        <v>302</v>
      </c>
    </row>
    <row r="30" customFormat="false" ht="15" hidden="false" customHeight="false" outlineLevel="0" collapsed="false">
      <c r="B30" s="15" t="s">
        <v>303</v>
      </c>
      <c r="C30" s="38" t="s">
        <v>304</v>
      </c>
      <c r="D30" s="58" t="n">
        <v>18</v>
      </c>
      <c r="E30" s="13" t="s">
        <v>305</v>
      </c>
    </row>
    <row r="32" customFormat="false" ht="19.5" hidden="false" customHeight="true" outlineLevel="0" collapsed="false">
      <c r="B32" s="14" t="s">
        <v>306</v>
      </c>
      <c r="C32" s="14"/>
      <c r="D32" s="14"/>
      <c r="E32" s="14"/>
    </row>
    <row r="33" customFormat="false" ht="18" hidden="false" customHeight="true" outlineLevel="0" collapsed="false">
      <c r="B33" s="46" t="s">
        <v>307</v>
      </c>
      <c r="C33" s="46"/>
      <c r="D33" s="46"/>
      <c r="E33" s="46"/>
    </row>
    <row r="34" customFormat="false" ht="18" hidden="false" customHeight="true" outlineLevel="0" collapsed="false">
      <c r="B34" s="46"/>
      <c r="C34" s="46"/>
      <c r="D34" s="46"/>
      <c r="E34" s="46"/>
    </row>
    <row r="35" customFormat="false" ht="18" hidden="false" customHeight="true" outlineLevel="0" collapsed="false">
      <c r="B35" s="46"/>
      <c r="C35" s="46"/>
      <c r="D35" s="46"/>
      <c r="E35" s="46"/>
    </row>
    <row r="36" customFormat="false" ht="18" hidden="false" customHeight="true" outlineLevel="0" collapsed="false">
      <c r="B36" s="46"/>
      <c r="C36" s="46"/>
      <c r="D36" s="46"/>
      <c r="E36" s="46"/>
    </row>
    <row r="37" customFormat="false" ht="18" hidden="false" customHeight="true" outlineLevel="0" collapsed="false">
      <c r="B37" s="46"/>
      <c r="C37" s="46"/>
      <c r="D37" s="46"/>
      <c r="E37" s="46"/>
    </row>
  </sheetData>
  <mergeCells count="7">
    <mergeCell ref="A1:E1"/>
    <mergeCell ref="A2:E2"/>
    <mergeCell ref="B4:E4"/>
    <mergeCell ref="B11:E11"/>
    <mergeCell ref="B21:E21"/>
    <mergeCell ref="B32:E32"/>
    <mergeCell ref="B33:E37"/>
  </mergeCells>
  <printOptions headings="false" gridLines="false" gridLinesSet="true" horizontalCentered="false" verticalCentered="false"/>
  <pageMargins left="0.4" right="0.4" top="0.4" bottom="0.4" header="0.511811023622047" footer="0.511811023622047"/>
  <pageSetup paperSize="1" scale="100" fitToWidth="1" fitToHeight="0" pageOrder="downThenOver" orientation="landscape"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LibreOffice/26.2.2.2$Linux_X86_64 LibreOffice_project/620$Build-2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2026-04-18T16:27:22Z</dcterms:created>
  <dc:creator>openpyxl</dc:creator>
  <dc:description/>
  <dc:language>en-US</dc:language>
  <cp:lastModifiedBy/>
  <dcterms:modified xsi:type="dcterms:W3CDTF">2026-04-18T16:27:23Z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